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ntroduction" sheetId="1" r:id="rId1"/>
    <sheet name="Master (Blank)" sheetId="2" r:id="rId2"/>
    <sheet name="SIM-14" sheetId="3" r:id="rId3"/>
    <sheet name="Data Tables-I" sheetId="4" r:id="rId4"/>
    <sheet name="Data Tables-II" sheetId="5" r:id="rId5"/>
  </sheets>
  <definedNames>
    <definedName name="hull">'Data Tables-I'!$G$3:$I$38</definedName>
    <definedName name="powerplant">'Data Tables-II'!$A$8:$I$29</definedName>
    <definedName name="stutterwarp">'Data Tables-II'!$A$37:$J$58</definedName>
    <definedName name="warhead">'Data Tables-I'!$K$3:$N$24</definedName>
  </definedNames>
  <calcPr fullCalcOnLoad="1"/>
</workbook>
</file>

<file path=xl/sharedStrings.xml><?xml version="1.0" encoding="utf-8"?>
<sst xmlns="http://schemas.openxmlformats.org/spreadsheetml/2006/main" count="228" uniqueCount="130">
  <si>
    <t>m2</t>
  </si>
  <si>
    <t>m3</t>
  </si>
  <si>
    <t>MLv</t>
  </si>
  <si>
    <t>Tons</t>
  </si>
  <si>
    <t>Conceptualization</t>
  </si>
  <si>
    <t>Control Sub-assembly</t>
  </si>
  <si>
    <t>Warhead</t>
  </si>
  <si>
    <t>Passive Sensor</t>
  </si>
  <si>
    <t>60º arcs=</t>
  </si>
  <si>
    <t>Passive Sensors</t>
  </si>
  <si>
    <t>Hulls</t>
  </si>
  <si>
    <t>Range</t>
  </si>
  <si>
    <t>CS</t>
  </si>
  <si>
    <t>Diameter</t>
  </si>
  <si>
    <t>Length</t>
  </si>
  <si>
    <t>Mat Vol</t>
  </si>
  <si>
    <t>Volume</t>
  </si>
  <si>
    <t>cs=</t>
  </si>
  <si>
    <t>Propulsion Sub-assembly</t>
  </si>
  <si>
    <t>Control Unit</t>
  </si>
  <si>
    <t>Power Plant</t>
  </si>
  <si>
    <t>Stutterwarp Drive</t>
  </si>
  <si>
    <t>Fuel</t>
  </si>
  <si>
    <t>Old Commerical</t>
  </si>
  <si>
    <t>New Com. / Old Mil.</t>
  </si>
  <si>
    <t>New Military</t>
  </si>
  <si>
    <t>Fuel per</t>
  </si>
  <si>
    <t>MW</t>
  </si>
  <si>
    <t>m³</t>
  </si>
  <si>
    <t>week</t>
  </si>
  <si>
    <t>hour</t>
  </si>
  <si>
    <t>Fuel Cells - Missiles</t>
  </si>
  <si>
    <t>new mil</t>
  </si>
  <si>
    <t>old com, new mil, new com/old mil</t>
  </si>
  <si>
    <t>tons</t>
  </si>
  <si>
    <t>Stutterwarp Drives - Missiles</t>
  </si>
  <si>
    <t>hours</t>
  </si>
  <si>
    <t xml:space="preserve"> Casing</t>
  </si>
  <si>
    <t>diameter=</t>
  </si>
  <si>
    <t>length =</t>
  </si>
  <si>
    <t>casing =</t>
  </si>
  <si>
    <t>Size</t>
  </si>
  <si>
    <t>Armor Type =</t>
  </si>
  <si>
    <t>Mat Vol =</t>
  </si>
  <si>
    <t>Sig Mult =</t>
  </si>
  <si>
    <t>Armor Mult =</t>
  </si>
  <si>
    <t>Cost =</t>
  </si>
  <si>
    <t>Tons per m3 Mat Vol=</t>
  </si>
  <si>
    <t>Armor Level =</t>
  </si>
  <si>
    <t>Total Mat Vol=</t>
  </si>
  <si>
    <t>Synthetic</t>
  </si>
  <si>
    <t>Mass</t>
  </si>
  <si>
    <t>Fire Statistics</t>
  </si>
  <si>
    <t>Cost, Lv</t>
  </si>
  <si>
    <t>Reflected Signature</t>
  </si>
  <si>
    <t>Radial</t>
  </si>
  <si>
    <t>Lateral</t>
  </si>
  <si>
    <t>*with array unfolded</t>
  </si>
  <si>
    <t>VA</t>
  </si>
  <si>
    <t>RP</t>
  </si>
  <si>
    <t>FP</t>
  </si>
  <si>
    <t>TRP</t>
  </si>
  <si>
    <t>Signature</t>
  </si>
  <si>
    <t>Radiated Signature</t>
  </si>
  <si>
    <t>Hull Hit Value</t>
  </si>
  <si>
    <t>/</t>
  </si>
  <si>
    <t>Target Profile</t>
  </si>
  <si>
    <t>Profile</t>
  </si>
  <si>
    <t>Armor Value</t>
  </si>
  <si>
    <t>RA =</t>
  </si>
  <si>
    <t>LA =</t>
  </si>
  <si>
    <t>Drive Efficiency</t>
  </si>
  <si>
    <t>Move =</t>
  </si>
  <si>
    <t>Power Plant Hit Capacity</t>
  </si>
  <si>
    <t>Evaluation</t>
  </si>
  <si>
    <t>1x2</t>
  </si>
  <si>
    <t>Cost</t>
  </si>
  <si>
    <t>1x3</t>
  </si>
  <si>
    <t>1x4</t>
  </si>
  <si>
    <t>1x5</t>
  </si>
  <si>
    <t>2x2</t>
  </si>
  <si>
    <t>3x2</t>
  </si>
  <si>
    <t>4x2</t>
  </si>
  <si>
    <t>5x2</t>
  </si>
  <si>
    <t>10x2</t>
  </si>
  <si>
    <t>2x3</t>
  </si>
  <si>
    <t>3x3</t>
  </si>
  <si>
    <t>4x3</t>
  </si>
  <si>
    <t>Detonation Lasers</t>
  </si>
  <si>
    <t>Detonation Laser</t>
  </si>
  <si>
    <t>range =</t>
  </si>
  <si>
    <t>(50% of price due to mass-manufacturing economy of scale factor)</t>
  </si>
  <si>
    <t>old mil</t>
  </si>
  <si>
    <t>2x5</t>
  </si>
  <si>
    <t>2x4</t>
  </si>
  <si>
    <t>3x4</t>
  </si>
  <si>
    <t>4x4</t>
  </si>
  <si>
    <t>1x1</t>
  </si>
  <si>
    <t>2x1</t>
  </si>
  <si>
    <t>3x1</t>
  </si>
  <si>
    <t>4x1</t>
  </si>
  <si>
    <t>5x1</t>
  </si>
  <si>
    <t>10x1</t>
  </si>
  <si>
    <t>American SIM-14 detonation missile</t>
  </si>
  <si>
    <t>Missile Design Template</t>
  </si>
  <si>
    <t>© 1999 by Terry A. Kuchta</t>
  </si>
  <si>
    <t>Text in this color must be entered by the user.</t>
  </si>
  <si>
    <t>Cells in this color are calculated values.</t>
  </si>
  <si>
    <t>Cells in this color are either information entered by the user (but rarely changed), or calculations unique to the design that must be changed manually.</t>
  </si>
  <si>
    <r>
      <t xml:space="preserve">Based on information from </t>
    </r>
    <r>
      <rPr>
        <b/>
        <sz val="10"/>
        <rFont val="Arial"/>
        <family val="2"/>
      </rPr>
      <t>Star Cruiser</t>
    </r>
    <r>
      <rPr>
        <sz val="10"/>
        <rFont val="Arial"/>
        <family val="2"/>
      </rPr>
      <t xml:space="preserve">, © by Tantalus and the article </t>
    </r>
    <r>
      <rPr>
        <b/>
        <sz val="10"/>
        <rFont val="Arial"/>
        <family val="2"/>
      </rPr>
      <t>Anatomy of a Space Missile</t>
    </r>
    <r>
      <rPr>
        <sz val="10"/>
        <rFont val="Arial"/>
        <family val="2"/>
      </rPr>
      <t xml:space="preserve"> © by Karl Bergman</t>
    </r>
  </si>
  <si>
    <t>2. Fill in the conceptualization text in cell H6. It will right align to fill the entire box.</t>
  </si>
  <si>
    <r>
      <t xml:space="preserve">1. Copy the </t>
    </r>
    <r>
      <rPr>
        <b/>
        <sz val="10"/>
        <rFont val="Arial"/>
        <family val="2"/>
      </rPr>
      <t>Master (Blank)</t>
    </r>
    <r>
      <rPr>
        <sz val="10"/>
        <rFont val="Arial"/>
        <family val="2"/>
      </rPr>
      <t xml:space="preserve"> template sheet before starting a new missile design.</t>
    </r>
  </si>
  <si>
    <r>
      <t xml:space="preserve">3. Enter the warhead type in cell D9. Use the notation such as 10x2. See </t>
    </r>
    <r>
      <rPr>
        <b/>
        <sz val="10"/>
        <rFont val="Arial"/>
        <family val="2"/>
      </rPr>
      <t>Data Tables-II</t>
    </r>
    <r>
      <rPr>
        <sz val="10"/>
        <rFont val="Arial"/>
        <family val="2"/>
      </rPr>
      <t xml:space="preserve"> for a listing of available warheads. Only detonation warheads are available.</t>
    </r>
  </si>
  <si>
    <r>
      <t xml:space="preserve">4. Enter the stats of the passive sensor array from </t>
    </r>
    <r>
      <rPr>
        <b/>
        <sz val="10"/>
        <rFont val="Arial"/>
        <family val="2"/>
      </rPr>
      <t>Data Tables-II</t>
    </r>
    <r>
      <rPr>
        <sz val="10"/>
        <rFont val="Arial"/>
        <family val="2"/>
      </rPr>
      <t xml:space="preserve"> in cells F13, F14, F15. In general only one 60 degree arc is required.</t>
    </r>
  </si>
  <si>
    <r>
      <t xml:space="preserve">5. Enter the power plant size and type in cells E18 and G18. See </t>
    </r>
    <r>
      <rPr>
        <b/>
        <sz val="10"/>
        <rFont val="Arial"/>
        <family val="2"/>
      </rPr>
      <t xml:space="preserve">Data Tables-I </t>
    </r>
    <r>
      <rPr>
        <sz val="10"/>
        <rFont val="Arial"/>
        <family val="2"/>
      </rPr>
      <t>for a complete listing of available fuel cell plants.</t>
    </r>
  </si>
  <si>
    <t>6. Enter the stutterwarp type in cell G19. Choose from new mil, old mil, new com, old com.</t>
  </si>
  <si>
    <t>7. Enter the fuel in hours in cell E20.</t>
  </si>
  <si>
    <t>8. Enter the casing diameter and length in cells D24 and D25.</t>
  </si>
  <si>
    <t>9. Enter cassing stats starting in cell E29. The material volume in cell E30 is calculated and should not be entered. I generally leave this section alone as most missile are constructed of the same hull materials - synthetic.</t>
  </si>
  <si>
    <t>Design Steps</t>
  </si>
  <si>
    <t>Cell Notes</t>
  </si>
  <si>
    <t>General Design Notes</t>
  </si>
  <si>
    <t>10. The evaluation calculates everything automatically from this point. Everything is standard except for cost, which is taken to be 50% of actual (this accounts for mass production discounts).</t>
  </si>
  <si>
    <t>As many people know, the missiles present in the NAM are broken, but you can achieve something close with the NAM design rules and this template.</t>
  </si>
  <si>
    <t>I have included the SIM-14 missile as an example. I have not fixed it, but have only entered the NAM stats to show you what you can get from the template.</t>
  </si>
  <si>
    <t>Like most of my 2300 projects, this one is in a process of constant change, modifications, and upgrades. If you have any comments or suggestions, e-mail me.</t>
  </si>
  <si>
    <t xml:space="preserve">The primary reason that I developed this template was to facilitate rapid construction of missiles (including the numerous minor revisions and tweaks) to allow me </t>
  </si>
  <si>
    <t xml:space="preserve">to outfit my corporate ships (Foxx Industries, IMS) with in-house designs. This ties to my desire to make the megacorporation self-sufficient and not dependent on </t>
  </si>
  <si>
    <t>any nation. Besides, the NAM systems are very limited and I can not believe that everyone uses only those systems.</t>
  </si>
  <si>
    <t>21 February 1999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</si>
</sst>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_(* #,##0.000_);_(* \(#,##0.000\);_(* &quot;-&quot;???_);_(@_)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15" applyNumberFormat="1" applyAlignment="1">
      <alignment horizontal="right"/>
    </xf>
    <xf numFmtId="164" fontId="2" fillId="0" borderId="0" xfId="15" applyNumberFormat="1" applyFont="1" applyAlignment="1">
      <alignment horizontal="right"/>
    </xf>
    <xf numFmtId="43" fontId="0" fillId="0" borderId="1" xfId="15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0" fontId="0" fillId="0" borderId="0" xfId="0" applyAlignment="1" quotePrefix="1">
      <alignment/>
    </xf>
    <xf numFmtId="43" fontId="0" fillId="0" borderId="1" xfId="15" applyNumberFormat="1" applyBorder="1" applyAlignment="1">
      <alignment/>
    </xf>
    <xf numFmtId="0" fontId="0" fillId="0" borderId="0" xfId="0" applyAlignment="1">
      <alignment horizontal="right"/>
    </xf>
    <xf numFmtId="43" fontId="0" fillId="0" borderId="0" xfId="15" applyNumberFormat="1" applyAlignment="1">
      <alignment horizontal="right"/>
    </xf>
    <xf numFmtId="43" fontId="2" fillId="0" borderId="0" xfId="15" applyNumberFormat="1" applyFont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3" fontId="5" fillId="0" borderId="5" xfId="15" applyFont="1" applyBorder="1" applyAlignment="1">
      <alignment/>
    </xf>
    <xf numFmtId="43" fontId="6" fillId="0" borderId="6" xfId="15" applyFont="1" applyBorder="1" applyAlignment="1">
      <alignment horizontal="right"/>
    </xf>
    <xf numFmtId="166" fontId="6" fillId="0" borderId="7" xfId="15" applyNumberFormat="1" applyFont="1" applyBorder="1" applyAlignment="1">
      <alignment horizontal="right"/>
    </xf>
    <xf numFmtId="43" fontId="5" fillId="0" borderId="8" xfId="15" applyFont="1" applyBorder="1" applyAlignment="1">
      <alignment/>
    </xf>
    <xf numFmtId="43" fontId="6" fillId="0" borderId="9" xfId="15" applyFont="1" applyBorder="1" applyAlignment="1">
      <alignment horizontal="right"/>
    </xf>
    <xf numFmtId="166" fontId="6" fillId="0" borderId="10" xfId="15" applyNumberFormat="1" applyFont="1" applyBorder="1" applyAlignment="1">
      <alignment horizontal="right"/>
    </xf>
    <xf numFmtId="43" fontId="5" fillId="0" borderId="11" xfId="15" applyFont="1" applyBorder="1" applyAlignment="1">
      <alignment/>
    </xf>
    <xf numFmtId="43" fontId="6" fillId="0" borderId="3" xfId="15" applyFont="1" applyBorder="1" applyAlignment="1">
      <alignment horizontal="right"/>
    </xf>
    <xf numFmtId="166" fontId="6" fillId="0" borderId="4" xfId="15" applyNumberFormat="1" applyFont="1" applyBorder="1" applyAlignment="1">
      <alignment horizontal="right"/>
    </xf>
    <xf numFmtId="166" fontId="5" fillId="0" borderId="6" xfId="15" applyNumberFormat="1" applyFont="1" applyBorder="1" applyAlignment="1">
      <alignment/>
    </xf>
    <xf numFmtId="166" fontId="5" fillId="0" borderId="9" xfId="15" applyNumberFormat="1" applyFont="1" applyBorder="1" applyAlignment="1">
      <alignment/>
    </xf>
    <xf numFmtId="166" fontId="5" fillId="0" borderId="3" xfId="15" applyNumberFormat="1" applyFont="1" applyBorder="1" applyAlignment="1">
      <alignment/>
    </xf>
    <xf numFmtId="166" fontId="5" fillId="0" borderId="7" xfId="15" applyNumberFormat="1" applyFont="1" applyBorder="1" applyAlignment="1">
      <alignment/>
    </xf>
    <xf numFmtId="166" fontId="5" fillId="0" borderId="10" xfId="15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43" fontId="5" fillId="0" borderId="7" xfId="15" applyNumberFormat="1" applyFont="1" applyBorder="1" applyAlignment="1">
      <alignment/>
    </xf>
    <xf numFmtId="43" fontId="5" fillId="0" borderId="10" xfId="15" applyNumberFormat="1" applyFont="1" applyBorder="1" applyAlignment="1">
      <alignment/>
    </xf>
    <xf numFmtId="43" fontId="5" fillId="0" borderId="4" xfId="15" applyNumberFormat="1" applyFont="1" applyBorder="1" applyAlignment="1">
      <alignment/>
    </xf>
    <xf numFmtId="166" fontId="0" fillId="0" borderId="0" xfId="15" applyNumberFormat="1" applyAlignment="1">
      <alignment horizontal="right"/>
    </xf>
    <xf numFmtId="166" fontId="2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6" fontId="5" fillId="0" borderId="12" xfId="15" applyNumberFormat="1" applyFont="1" applyBorder="1" applyAlignment="1">
      <alignment/>
    </xf>
    <xf numFmtId="166" fontId="5" fillId="0" borderId="13" xfId="15" applyNumberFormat="1" applyFont="1" applyBorder="1" applyAlignment="1">
      <alignment/>
    </xf>
    <xf numFmtId="166" fontId="5" fillId="0" borderId="14" xfId="15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166" fontId="5" fillId="0" borderId="16" xfId="15" applyNumberFormat="1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5" fillId="0" borderId="15" xfId="15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166" fontId="5" fillId="0" borderId="7" xfId="15" applyNumberFormat="1" applyFont="1" applyBorder="1" applyAlignment="1">
      <alignment horizontal="right"/>
    </xf>
    <xf numFmtId="166" fontId="5" fillId="0" borderId="10" xfId="15" applyNumberFormat="1" applyFont="1" applyBorder="1" applyAlignment="1">
      <alignment horizontal="right"/>
    </xf>
    <xf numFmtId="166" fontId="5" fillId="0" borderId="4" xfId="15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5" fillId="0" borderId="19" xfId="15" applyNumberFormat="1" applyFont="1" applyBorder="1" applyAlignment="1">
      <alignment horizontal="right"/>
    </xf>
    <xf numFmtId="166" fontId="5" fillId="0" borderId="1" xfId="15" applyNumberFormat="1" applyFont="1" applyBorder="1" applyAlignment="1">
      <alignment horizontal="right"/>
    </xf>
    <xf numFmtId="166" fontId="5" fillId="0" borderId="18" xfId="15" applyNumberFormat="1" applyFont="1" applyBorder="1" applyAlignment="1">
      <alignment horizontal="right"/>
    </xf>
    <xf numFmtId="164" fontId="0" fillId="0" borderId="20" xfId="15" applyNumberFormat="1" applyBorder="1" applyAlignment="1">
      <alignment horizontal="right"/>
    </xf>
    <xf numFmtId="166" fontId="0" fillId="0" borderId="20" xfId="15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2" xfId="0" applyFont="1" applyBorder="1" applyAlignment="1">
      <alignment/>
    </xf>
    <xf numFmtId="43" fontId="2" fillId="0" borderId="0" xfId="15" applyFont="1" applyAlignment="1">
      <alignment/>
    </xf>
    <xf numFmtId="43" fontId="2" fillId="0" borderId="23" xfId="15" applyFont="1" applyBorder="1" applyAlignment="1">
      <alignment/>
    </xf>
    <xf numFmtId="43" fontId="0" fillId="0" borderId="24" xfId="15" applyBorder="1" applyAlignment="1">
      <alignment/>
    </xf>
    <xf numFmtId="166" fontId="0" fillId="0" borderId="24" xfId="15" applyNumberFormat="1" applyBorder="1" applyAlignment="1">
      <alignment horizontal="right"/>
    </xf>
    <xf numFmtId="43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left" indent="1"/>
    </xf>
    <xf numFmtId="43" fontId="0" fillId="0" borderId="0" xfId="15" applyFont="1" applyAlignment="1">
      <alignment horizontal="right"/>
    </xf>
    <xf numFmtId="43" fontId="0" fillId="0" borderId="0" xfId="15" applyFont="1" applyAlignment="1">
      <alignment/>
    </xf>
    <xf numFmtId="0" fontId="0" fillId="0" borderId="0" xfId="0" applyAlignment="1" quotePrefix="1">
      <alignment horizontal="center"/>
    </xf>
    <xf numFmtId="43" fontId="0" fillId="0" borderId="0" xfId="15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43" fontId="0" fillId="0" borderId="1" xfId="15" applyBorder="1" applyAlignment="1">
      <alignment horizontal="right"/>
    </xf>
    <xf numFmtId="164" fontId="0" fillId="0" borderId="1" xfId="15" applyNumberFormat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Alignment="1">
      <alignment horizontal="right"/>
    </xf>
    <xf numFmtId="166" fontId="0" fillId="0" borderId="0" xfId="15" applyNumberFormat="1" applyAlignment="1">
      <alignment horizontal="right"/>
    </xf>
    <xf numFmtId="43" fontId="0" fillId="0" borderId="0" xfId="15" applyNumberFormat="1" applyAlignment="1">
      <alignment horizontal="right"/>
    </xf>
    <xf numFmtId="0" fontId="1" fillId="0" borderId="22" xfId="0" applyFont="1" applyBorder="1" applyAlignment="1">
      <alignment horizontal="center"/>
    </xf>
    <xf numFmtId="43" fontId="1" fillId="0" borderId="22" xfId="15" applyNumberFormat="1" applyFont="1" applyBorder="1" applyAlignment="1">
      <alignment horizontal="right"/>
    </xf>
    <xf numFmtId="166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0" xfId="0" applyBorder="1" applyAlignment="1">
      <alignment/>
    </xf>
    <xf numFmtId="164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15" applyNumberFormat="1" applyFont="1" applyFill="1" applyBorder="1" applyAlignment="1">
      <alignment horizontal="right"/>
    </xf>
    <xf numFmtId="43" fontId="3" fillId="2" borderId="1" xfId="15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2" borderId="1" xfId="15" applyNumberFormat="1" applyFill="1" applyBorder="1" applyAlignment="1">
      <alignment horizontal="right"/>
    </xf>
    <xf numFmtId="43" fontId="0" fillId="2" borderId="1" xfId="15" applyFill="1" applyBorder="1" applyAlignment="1">
      <alignment horizontal="right"/>
    </xf>
    <xf numFmtId="164" fontId="0" fillId="2" borderId="1" xfId="15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43" fontId="0" fillId="2" borderId="1" xfId="15" applyFill="1" applyBorder="1" applyAlignment="1">
      <alignment/>
    </xf>
    <xf numFmtId="0" fontId="3" fillId="2" borderId="1" xfId="0" applyFont="1" applyFill="1" applyBorder="1" applyAlignment="1">
      <alignment/>
    </xf>
    <xf numFmtId="43" fontId="0" fillId="2" borderId="1" xfId="15" applyFill="1" applyBorder="1" applyAlignment="1">
      <alignment horizontal="right"/>
    </xf>
    <xf numFmtId="43" fontId="3" fillId="2" borderId="1" xfId="15" applyFont="1" applyFill="1" applyBorder="1" applyAlignment="1">
      <alignment/>
    </xf>
    <xf numFmtId="43" fontId="0" fillId="2" borderId="1" xfId="15" applyNumberForma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0" fillId="0" borderId="20" xfId="15" applyNumberFormat="1" applyBorder="1" applyAlignment="1">
      <alignment horizontal="right"/>
    </xf>
    <xf numFmtId="166" fontId="0" fillId="0" borderId="20" xfId="15" applyNumberFormat="1" applyBorder="1" applyAlignment="1">
      <alignment horizontal="right"/>
    </xf>
    <xf numFmtId="166" fontId="0" fillId="0" borderId="24" xfId="15" applyNumberForma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5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5" fontId="5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11.8515625" style="134" bestFit="1" customWidth="1"/>
    <col min="2" max="16384" width="9.140625" style="134" customWidth="1"/>
  </cols>
  <sheetData>
    <row r="1" ht="18">
      <c r="A1" s="135" t="s">
        <v>104</v>
      </c>
    </row>
    <row r="3" ht="15">
      <c r="A3" s="139" t="s">
        <v>105</v>
      </c>
    </row>
    <row r="4" ht="15">
      <c r="A4" s="139" t="s">
        <v>109</v>
      </c>
    </row>
    <row r="6" ht="15">
      <c r="A6" s="134" t="s">
        <v>120</v>
      </c>
    </row>
    <row r="8" spans="1:2" ht="15">
      <c r="A8" s="136"/>
      <c r="B8" s="139" t="s">
        <v>106</v>
      </c>
    </row>
    <row r="9" spans="1:2" ht="15">
      <c r="A9" s="137"/>
      <c r="B9" s="139" t="s">
        <v>107</v>
      </c>
    </row>
    <row r="10" spans="1:2" ht="15">
      <c r="A10" s="138"/>
      <c r="B10" s="139" t="s">
        <v>108</v>
      </c>
    </row>
    <row r="11" spans="1:2" ht="15">
      <c r="A11" s="140"/>
      <c r="B11" s="139"/>
    </row>
    <row r="12" spans="1:2" ht="15">
      <c r="A12" s="140" t="s">
        <v>119</v>
      </c>
      <c r="B12" s="139"/>
    </row>
    <row r="14" s="139" customFormat="1" ht="12.75">
      <c r="A14" s="139" t="s">
        <v>111</v>
      </c>
    </row>
    <row r="15" s="139" customFormat="1" ht="12.75">
      <c r="A15" s="139" t="s">
        <v>110</v>
      </c>
    </row>
    <row r="16" s="139" customFormat="1" ht="12.75">
      <c r="A16" s="139" t="s">
        <v>112</v>
      </c>
    </row>
    <row r="17" s="139" customFormat="1" ht="12.75">
      <c r="A17" s="139" t="s">
        <v>113</v>
      </c>
    </row>
    <row r="18" s="139" customFormat="1" ht="12.75">
      <c r="A18" s="139" t="s">
        <v>114</v>
      </c>
    </row>
    <row r="19" s="139" customFormat="1" ht="12.75">
      <c r="A19" s="139" t="s">
        <v>115</v>
      </c>
    </row>
    <row r="20" s="139" customFormat="1" ht="12.75">
      <c r="A20" s="139" t="s">
        <v>116</v>
      </c>
    </row>
    <row r="21" s="139" customFormat="1" ht="12.75">
      <c r="A21" s="139" t="s">
        <v>117</v>
      </c>
    </row>
    <row r="22" s="139" customFormat="1" ht="12.75">
      <c r="A22" s="139" t="s">
        <v>118</v>
      </c>
    </row>
    <row r="23" s="139" customFormat="1" ht="12.75">
      <c r="A23" s="139" t="s">
        <v>122</v>
      </c>
    </row>
    <row r="24" s="139" customFormat="1" ht="12.75"/>
    <row r="25" s="139" customFormat="1" ht="15">
      <c r="A25" s="134" t="s">
        <v>121</v>
      </c>
    </row>
    <row r="26" s="139" customFormat="1" ht="12.75"/>
    <row r="27" s="139" customFormat="1" ht="12.75">
      <c r="A27" s="139" t="s">
        <v>123</v>
      </c>
    </row>
    <row r="28" s="139" customFormat="1" ht="12.75">
      <c r="A28" s="139" t="s">
        <v>124</v>
      </c>
    </row>
    <row r="29" s="139" customFormat="1" ht="12.75">
      <c r="A29" s="139" t="s">
        <v>125</v>
      </c>
    </row>
    <row r="30" s="139" customFormat="1" ht="12.75"/>
    <row r="31" s="139" customFormat="1" ht="12.75">
      <c r="A31" s="139" t="s">
        <v>126</v>
      </c>
    </row>
    <row r="32" s="139" customFormat="1" ht="12.75">
      <c r="A32" s="139" t="s">
        <v>127</v>
      </c>
    </row>
    <row r="33" s="139" customFormat="1" ht="12.75">
      <c r="A33" s="139" t="s">
        <v>128</v>
      </c>
    </row>
    <row r="34" s="139" customFormat="1" ht="12.75"/>
    <row r="35" ht="15">
      <c r="A35" s="141" t="s">
        <v>129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3" max="3" width="12.8515625" style="0" bestFit="1" customWidth="1"/>
    <col min="9" max="9" width="9.140625" style="1" customWidth="1"/>
    <col min="10" max="10" width="9.140625" style="43" customWidth="1"/>
    <col min="11" max="11" width="10.28125" style="17" bestFit="1" customWidth="1"/>
    <col min="12" max="12" width="9.140625" style="43" customWidth="1"/>
  </cols>
  <sheetData>
    <row r="3" spans="9:12" ht="12.75">
      <c r="I3" s="1" t="s">
        <v>0</v>
      </c>
      <c r="J3" s="43" t="s">
        <v>1</v>
      </c>
      <c r="K3" s="17" t="s">
        <v>2</v>
      </c>
      <c r="L3" s="43" t="s">
        <v>3</v>
      </c>
    </row>
    <row r="6" spans="1:8" ht="12.75">
      <c r="A6">
        <v>1</v>
      </c>
      <c r="B6" t="s">
        <v>4</v>
      </c>
      <c r="D6" s="99"/>
      <c r="E6" s="100"/>
      <c r="F6" s="100"/>
      <c r="G6" s="100"/>
      <c r="H6" s="120"/>
    </row>
    <row r="9" spans="1:12" ht="12.75">
      <c r="A9">
        <v>2</v>
      </c>
      <c r="B9" t="s">
        <v>6</v>
      </c>
      <c r="D9" s="94" t="s">
        <v>84</v>
      </c>
      <c r="E9" t="s">
        <v>89</v>
      </c>
      <c r="I9" s="1">
        <v>0</v>
      </c>
      <c r="J9" s="44">
        <f>VLOOKUP(D9,warhead,2,0)</f>
        <v>2</v>
      </c>
      <c r="K9" s="18">
        <f>VLOOKUP(D9,warhead,3,0)</f>
        <v>0.4</v>
      </c>
      <c r="L9" s="44">
        <f>VLOOKUP(D9,warhead,4,0)</f>
        <v>2</v>
      </c>
    </row>
    <row r="11" spans="1:2" ht="12.75">
      <c r="A11">
        <v>3</v>
      </c>
      <c r="B11" t="s">
        <v>5</v>
      </c>
    </row>
    <row r="12" spans="3:12" ht="12.75">
      <c r="C12" t="s">
        <v>19</v>
      </c>
      <c r="I12" s="2">
        <v>0.2</v>
      </c>
      <c r="J12" s="44">
        <v>0.1</v>
      </c>
      <c r="K12" s="18">
        <v>0.1</v>
      </c>
      <c r="L12" s="44">
        <v>0.1</v>
      </c>
    </row>
    <row r="13" spans="3:12" ht="12.75">
      <c r="C13" t="s">
        <v>7</v>
      </c>
      <c r="E13" s="16" t="s">
        <v>8</v>
      </c>
      <c r="F13" s="72">
        <v>1</v>
      </c>
      <c r="I13" s="2">
        <f>5*F13</f>
        <v>5</v>
      </c>
      <c r="J13" s="44">
        <f>1*F13</f>
        <v>1</v>
      </c>
      <c r="K13" s="95">
        <v>0.12</v>
      </c>
      <c r="L13" s="44">
        <f>0.1*F13</f>
        <v>0.1</v>
      </c>
    </row>
    <row r="14" spans="5:6" ht="12.75">
      <c r="E14" s="16" t="s">
        <v>17</v>
      </c>
      <c r="F14" s="72">
        <v>1</v>
      </c>
    </row>
    <row r="15" spans="5:6" ht="12.75">
      <c r="E15" s="16" t="s">
        <v>90</v>
      </c>
      <c r="F15" s="72">
        <v>10</v>
      </c>
    </row>
    <row r="17" spans="1:2" ht="12.75">
      <c r="A17">
        <v>4</v>
      </c>
      <c r="B17" t="s">
        <v>18</v>
      </c>
    </row>
    <row r="18" spans="3:12" ht="12.75">
      <c r="C18" t="s">
        <v>20</v>
      </c>
      <c r="E18" s="72">
        <v>0.1</v>
      </c>
      <c r="F18" t="s">
        <v>27</v>
      </c>
      <c r="G18" s="72" t="s">
        <v>32</v>
      </c>
      <c r="I18" s="2">
        <v>0</v>
      </c>
      <c r="J18" s="44">
        <f>VLOOKUP(E18,powerplant,IF(G18="old com",2,IF(G18="new mil",6,4)))</f>
        <v>0.35</v>
      </c>
      <c r="K18" s="44">
        <f>VLOOKUP(E18,powerplant,IF(G18="old com",3,IF(G18="new mil",7,5)))</f>
        <v>0.15</v>
      </c>
      <c r="L18" s="44">
        <f>J18</f>
        <v>0.35</v>
      </c>
    </row>
    <row r="19" spans="3:12" ht="12.75">
      <c r="C19" t="s">
        <v>21</v>
      </c>
      <c r="E19" s="98">
        <f>E18</f>
        <v>0.1</v>
      </c>
      <c r="F19" t="s">
        <v>27</v>
      </c>
      <c r="G19" s="72" t="s">
        <v>32</v>
      </c>
      <c r="I19" s="2">
        <v>0</v>
      </c>
      <c r="J19" s="44">
        <f>VLOOKUP(E19,stutterwarp,IF(G19="old com",2,IF(G19="new mil",8,5)))</f>
        <v>0.0875</v>
      </c>
      <c r="K19" s="44">
        <f>VLOOKUP(E19,stutterwarp,IF(G19="old com",3,IF(G19="new mil",9,6)))</f>
        <v>0.395</v>
      </c>
      <c r="L19" s="44">
        <f>VLOOKUP(E19,stutterwarp,IF(G19="old com",4,IF(I19="new mil",10,7)))</f>
        <v>1.75</v>
      </c>
    </row>
    <row r="20" spans="3:12" ht="12.75">
      <c r="C20" t="s">
        <v>22</v>
      </c>
      <c r="E20" s="72">
        <v>12</v>
      </c>
      <c r="F20" t="s">
        <v>36</v>
      </c>
      <c r="I20" s="1">
        <v>0</v>
      </c>
      <c r="J20" s="44">
        <f>1.65*L20</f>
        <v>0.891</v>
      </c>
      <c r="K20" s="17">
        <v>0</v>
      </c>
      <c r="L20" s="44">
        <f>VLOOKUP(E18,powerplant,9)*E20</f>
        <v>0.54</v>
      </c>
    </row>
    <row r="21" ht="12.75">
      <c r="D21" s="121" t="s">
        <v>33</v>
      </c>
    </row>
    <row r="22" spans="9:12" ht="12.75">
      <c r="I22" s="63">
        <f>SUM(I9:I20)</f>
        <v>5.2</v>
      </c>
      <c r="J22" s="64">
        <f>SUM(J9:J20)</f>
        <v>4.4285</v>
      </c>
      <c r="K22" s="64">
        <f>SUM(K9:K20)</f>
        <v>1.165</v>
      </c>
      <c r="L22" s="64">
        <f>SUM(L9:L20)</f>
        <v>4.840000000000001</v>
      </c>
    </row>
    <row r="24" spans="1:7" ht="12.75">
      <c r="A24">
        <v>5</v>
      </c>
      <c r="B24" t="s">
        <v>37</v>
      </c>
      <c r="C24" t="s">
        <v>38</v>
      </c>
      <c r="D24" s="72">
        <v>1</v>
      </c>
      <c r="F24" t="s">
        <v>69</v>
      </c>
      <c r="G24" s="73">
        <f>PI()*((D24/2)^2)</f>
        <v>0.7853981633974483</v>
      </c>
    </row>
    <row r="25" spans="3:7" ht="12.75">
      <c r="C25" t="s">
        <v>39</v>
      </c>
      <c r="D25" s="72">
        <v>6</v>
      </c>
      <c r="F25" t="s">
        <v>70</v>
      </c>
      <c r="G25" s="73">
        <f>D25*D24</f>
        <v>6</v>
      </c>
    </row>
    <row r="26" spans="3:10" ht="12.75">
      <c r="C26" t="s">
        <v>40</v>
      </c>
      <c r="D26" s="65" t="str">
        <f>CONCATENATE(D24,"x",D25)</f>
        <v>1x6</v>
      </c>
      <c r="E26" s="16"/>
      <c r="F26" s="67"/>
      <c r="J26" s="44">
        <f>-VLOOKUP(D26,hull,3)</f>
        <v>-4.71238898038469</v>
      </c>
    </row>
    <row r="29" spans="4:9" ht="12.75">
      <c r="D29" s="16" t="s">
        <v>42</v>
      </c>
      <c r="E29" s="68" t="s">
        <v>50</v>
      </c>
      <c r="F29" s="69"/>
      <c r="G29" s="12"/>
      <c r="H29" s="12"/>
      <c r="I29" s="12"/>
    </row>
    <row r="30" spans="4:12" ht="12.75">
      <c r="D30" s="16" t="s">
        <v>43</v>
      </c>
      <c r="E30" s="74">
        <f>VLOOKUP(D26,hull,2)</f>
        <v>0.13</v>
      </c>
      <c r="F30" s="12"/>
      <c r="G30" s="12"/>
      <c r="K30" s="96">
        <f>E36*E33</f>
        <v>0.0078</v>
      </c>
      <c r="L30" s="97">
        <f>E36*E34</f>
        <v>2.08</v>
      </c>
    </row>
    <row r="31" spans="4:9" ht="12.75">
      <c r="D31" s="16" t="s">
        <v>44</v>
      </c>
      <c r="E31" s="70">
        <v>0.6</v>
      </c>
      <c r="F31" s="12"/>
      <c r="G31" s="12"/>
      <c r="H31" s="12"/>
      <c r="I31" s="12"/>
    </row>
    <row r="32" spans="4:9" ht="12.75">
      <c r="D32" s="16" t="s">
        <v>45</v>
      </c>
      <c r="E32" s="70">
        <v>4</v>
      </c>
      <c r="F32" s="12"/>
      <c r="G32" s="12"/>
      <c r="H32" s="12"/>
      <c r="I32" s="12"/>
    </row>
    <row r="33" spans="4:9" ht="12.75">
      <c r="D33" s="16" t="s">
        <v>46</v>
      </c>
      <c r="E33" s="70">
        <v>0.015</v>
      </c>
      <c r="F33" s="12"/>
      <c r="G33" s="12"/>
      <c r="H33" s="12"/>
      <c r="I33" s="12"/>
    </row>
    <row r="34" spans="4:9" ht="12.75">
      <c r="D34" s="16" t="s">
        <v>47</v>
      </c>
      <c r="E34" s="71">
        <v>4</v>
      </c>
      <c r="F34" s="12"/>
      <c r="G34" s="12"/>
      <c r="H34" s="12"/>
      <c r="I34" s="12"/>
    </row>
    <row r="35" spans="4:9" ht="12.75">
      <c r="D35" s="16" t="s">
        <v>48</v>
      </c>
      <c r="E35" s="72">
        <v>1</v>
      </c>
      <c r="F35" s="12"/>
      <c r="G35" s="12"/>
      <c r="H35" s="12"/>
      <c r="I35" s="12"/>
    </row>
    <row r="36" spans="4:12" ht="13.5" thickBot="1">
      <c r="D36" s="16" t="s">
        <v>49</v>
      </c>
      <c r="E36" s="73">
        <f>E30*E32*E35</f>
        <v>0.52</v>
      </c>
      <c r="F36" s="12"/>
      <c r="G36" s="12"/>
      <c r="H36" s="12"/>
      <c r="I36" s="75"/>
      <c r="J36" s="76">
        <f>SUM(J22:J35)</f>
        <v>-0.28388898038469</v>
      </c>
      <c r="K36" s="76">
        <f>SUM(K22:K35)</f>
        <v>1.1728</v>
      </c>
      <c r="L36" s="76">
        <f>SUM(L22:L35)</f>
        <v>6.920000000000001</v>
      </c>
    </row>
    <row r="37" ht="13.5" thickTop="1">
      <c r="H37" s="8"/>
    </row>
    <row r="38" ht="12.75">
      <c r="A38" s="87" t="s">
        <v>74</v>
      </c>
    </row>
    <row r="40" spans="1:10" ht="12.75">
      <c r="A40">
        <v>1</v>
      </c>
      <c r="B40" t="s">
        <v>51</v>
      </c>
      <c r="C40" s="77">
        <f>L36</f>
        <v>6.920000000000001</v>
      </c>
      <c r="D40" t="s">
        <v>34</v>
      </c>
      <c r="G40" s="12"/>
      <c r="H40" s="12"/>
      <c r="I40" s="12"/>
      <c r="J40" s="12"/>
    </row>
    <row r="41" spans="7:10" ht="12.75">
      <c r="G41" s="12"/>
      <c r="H41" s="12"/>
      <c r="I41" s="12"/>
      <c r="J41" s="12"/>
    </row>
    <row r="42" spans="1:10" ht="12.75">
      <c r="A42">
        <v>2</v>
      </c>
      <c r="B42" t="s">
        <v>71</v>
      </c>
      <c r="D42" s="73">
        <f>(E18/L36)^(1/3)*IF(G19="old com",14.5,IF(G19="new mil",17.5,16.05))</f>
        <v>4.262548667138383</v>
      </c>
      <c r="E42" s="16" t="s">
        <v>72</v>
      </c>
      <c r="F42" s="67">
        <f>ROUND(D42*2,0)</f>
        <v>9</v>
      </c>
      <c r="G42" s="12"/>
      <c r="H42" s="12"/>
      <c r="I42" s="12"/>
      <c r="J42" s="12"/>
    </row>
    <row r="43" spans="7:10" ht="12.75">
      <c r="G43" s="12"/>
      <c r="H43" s="12"/>
      <c r="I43" s="12"/>
      <c r="J43" s="12"/>
    </row>
    <row r="44" spans="1:10" ht="12.75">
      <c r="A44">
        <v>3</v>
      </c>
      <c r="B44" t="s">
        <v>52</v>
      </c>
      <c r="C44" s="78"/>
      <c r="D44" s="65" t="str">
        <f>D9</f>
        <v>10x2</v>
      </c>
      <c r="E44" t="s">
        <v>89</v>
      </c>
      <c r="G44" s="12"/>
      <c r="H44" s="12"/>
      <c r="I44" s="12"/>
      <c r="J44" s="12"/>
    </row>
    <row r="45" spans="7:10" ht="12.75">
      <c r="G45" s="12"/>
      <c r="H45" s="12"/>
      <c r="I45" s="12"/>
      <c r="J45" s="12"/>
    </row>
    <row r="46" spans="1:10" ht="12.75">
      <c r="A46">
        <v>5</v>
      </c>
      <c r="B46" t="s">
        <v>53</v>
      </c>
      <c r="C46" s="77">
        <f>K36*1000000/2</f>
        <v>586400</v>
      </c>
      <c r="E46" t="s">
        <v>91</v>
      </c>
      <c r="G46" s="12"/>
      <c r="H46" s="12"/>
      <c r="I46" s="12"/>
      <c r="J46" s="12"/>
    </row>
    <row r="47" spans="7:10" ht="12.75">
      <c r="G47" s="12"/>
      <c r="H47" s="12"/>
      <c r="I47" s="12"/>
      <c r="J47" s="12"/>
    </row>
    <row r="48" spans="1:10" ht="12.75">
      <c r="A48">
        <v>6</v>
      </c>
      <c r="B48" t="s">
        <v>54</v>
      </c>
      <c r="G48" s="12"/>
      <c r="H48" s="12"/>
      <c r="I48" s="12"/>
      <c r="J48" s="12"/>
    </row>
    <row r="49" spans="3:10" ht="12.75">
      <c r="C49" t="s">
        <v>55</v>
      </c>
      <c r="D49" s="77">
        <f>G24</f>
        <v>0.7853981633974483</v>
      </c>
      <c r="E49" s="79">
        <f>CEILING(D49*E31,1)</f>
        <v>1</v>
      </c>
      <c r="F49" s="80">
        <f>F14</f>
        <v>1</v>
      </c>
      <c r="G49" s="80">
        <f>E49+F49</f>
        <v>2</v>
      </c>
      <c r="H49" s="81">
        <f>IF(G49&lt;7,1,IF(G49&lt;23,2,IF(G49&lt;63,3,IF(G49&lt;124,4,5))))</f>
        <v>1</v>
      </c>
      <c r="I49" s="80"/>
      <c r="J49" s="81"/>
    </row>
    <row r="50" spans="4:10" ht="12.75">
      <c r="D50" s="77">
        <f>G25</f>
        <v>6</v>
      </c>
      <c r="E50" s="79">
        <f>CEILING(D50*E31,1)</f>
        <v>4</v>
      </c>
      <c r="F50" s="80">
        <f>F14</f>
        <v>1</v>
      </c>
      <c r="G50" s="80">
        <f>E50+F49</f>
        <v>5</v>
      </c>
      <c r="H50" s="81">
        <f>IF(G50&lt;7,1,IF(G50&lt;23,2,IF(G50&lt;63,3,IF(G50&lt;124,4,5))))</f>
        <v>1</v>
      </c>
      <c r="I50" s="80"/>
      <c r="J50" s="81"/>
    </row>
    <row r="51" spans="3:10" ht="12.75">
      <c r="C51" s="16" t="s">
        <v>57</v>
      </c>
      <c r="D51" s="16" t="s">
        <v>58</v>
      </c>
      <c r="E51" s="16" t="s">
        <v>59</v>
      </c>
      <c r="F51" s="82" t="s">
        <v>60</v>
      </c>
      <c r="G51" s="82" t="s">
        <v>61</v>
      </c>
      <c r="H51" s="83" t="s">
        <v>62</v>
      </c>
      <c r="I51" s="82"/>
      <c r="J51" s="82"/>
    </row>
    <row r="52" spans="7:10" ht="12.75">
      <c r="G52" s="12"/>
      <c r="H52" s="12"/>
      <c r="I52" s="12"/>
      <c r="J52" s="12"/>
    </row>
    <row r="53" spans="1:10" ht="12.75">
      <c r="A53">
        <v>7</v>
      </c>
      <c r="B53" t="s">
        <v>63</v>
      </c>
      <c r="D53" s="67">
        <f>IF(E18&lt;=1,1,IF(E18&lt;=2,2,IF(E18&lt;=3,3,4)))</f>
        <v>1</v>
      </c>
      <c r="G53" s="12"/>
      <c r="H53" s="12"/>
      <c r="I53" s="12"/>
      <c r="J53" s="12"/>
    </row>
    <row r="54" spans="7:10" ht="12.75">
      <c r="G54" s="12"/>
      <c r="H54" s="12"/>
      <c r="I54" s="12"/>
      <c r="J54" s="12"/>
    </row>
    <row r="55" spans="1:10" ht="12.75">
      <c r="A55">
        <v>8</v>
      </c>
      <c r="B55" t="s">
        <v>64</v>
      </c>
      <c r="D55" s="67">
        <f>CEILING(H55/4,1)</f>
        <v>1</v>
      </c>
      <c r="E55" s="84" t="s">
        <v>65</v>
      </c>
      <c r="F55" s="67">
        <f>CEILING(H55/2,1)</f>
        <v>1</v>
      </c>
      <c r="G55" s="85" t="s">
        <v>65</v>
      </c>
      <c r="H55" s="79">
        <f>CEILING(E36/E32,1)</f>
        <v>1</v>
      </c>
      <c r="I55" s="12"/>
      <c r="J55" s="12"/>
    </row>
    <row r="56" spans="4:10" ht="12.75">
      <c r="D56" s="67"/>
      <c r="E56" s="84"/>
      <c r="F56" s="67"/>
      <c r="G56" s="85"/>
      <c r="H56" s="79"/>
      <c r="I56" s="12"/>
      <c r="J56" s="12"/>
    </row>
    <row r="57" spans="1:10" ht="12.75">
      <c r="A57">
        <v>9</v>
      </c>
      <c r="B57" t="s">
        <v>73</v>
      </c>
      <c r="D57" s="67"/>
      <c r="E57" s="67">
        <f>CEILING(G57*0.2,1)</f>
        <v>1</v>
      </c>
      <c r="F57" s="84" t="s">
        <v>65</v>
      </c>
      <c r="G57" s="86">
        <f>CEILING(J18/5,1)</f>
        <v>1</v>
      </c>
      <c r="H57" s="79"/>
      <c r="I57" s="12"/>
      <c r="J57" s="12"/>
    </row>
    <row r="58" spans="7:10" ht="12.75">
      <c r="G58" s="12"/>
      <c r="H58" s="12"/>
      <c r="I58" s="12"/>
      <c r="J58" s="12"/>
    </row>
    <row r="59" spans="1:10" ht="12.75">
      <c r="A59">
        <v>10</v>
      </c>
      <c r="B59" t="s">
        <v>66</v>
      </c>
      <c r="G59" s="12"/>
      <c r="H59" s="12"/>
      <c r="I59" s="12"/>
      <c r="J59" s="12"/>
    </row>
    <row r="60" spans="3:10" ht="12.75">
      <c r="C60" t="s">
        <v>55</v>
      </c>
      <c r="D60" s="77">
        <f>D49</f>
        <v>0.7853981633974483</v>
      </c>
      <c r="E60" s="67">
        <f>IF(D60&lt;5,-4,IF(D60&lt;30,-3,IF(D60&lt;115,-2,IF(D60&lt;315,-1,0))))</f>
        <v>-4</v>
      </c>
      <c r="G60" s="12"/>
      <c r="H60" s="12"/>
      <c r="I60" s="12"/>
      <c r="J60" s="12"/>
    </row>
    <row r="61" spans="3:10" ht="12.75">
      <c r="C61" t="s">
        <v>56</v>
      </c>
      <c r="D61" s="77">
        <f>D50</f>
        <v>6</v>
      </c>
      <c r="E61" s="67">
        <f>IF(D61&lt;5,-4,IF(D61&lt;30,-3,IF(D61&lt;115,-2,IF(D61&lt;315,-1,0))))</f>
        <v>-3</v>
      </c>
      <c r="G61" s="12"/>
      <c r="H61" s="12"/>
      <c r="I61" s="12"/>
      <c r="J61" s="12"/>
    </row>
    <row r="62" spans="4:10" ht="12.75">
      <c r="D62" s="16" t="s">
        <v>58</v>
      </c>
      <c r="E62" s="16" t="s">
        <v>67</v>
      </c>
      <c r="G62" s="12"/>
      <c r="H62" s="12"/>
      <c r="I62" s="12"/>
      <c r="J62" s="12"/>
    </row>
    <row r="63" spans="7:10" ht="12.75">
      <c r="G63" s="12"/>
      <c r="H63" s="12"/>
      <c r="I63" s="12"/>
      <c r="J63" s="12"/>
    </row>
    <row r="64" spans="1:10" ht="12.75">
      <c r="A64">
        <v>12</v>
      </c>
      <c r="B64" t="s">
        <v>68</v>
      </c>
      <c r="D64" s="67">
        <f>E35</f>
        <v>1</v>
      </c>
      <c r="G64" s="12"/>
      <c r="H64" s="12"/>
      <c r="I64" s="12"/>
      <c r="J64" s="12"/>
    </row>
  </sheetData>
  <printOptions/>
  <pageMargins left="0.75" right="0.75" top="1" bottom="1" header="0.5" footer="0.5"/>
  <pageSetup horizontalDpi="300" verticalDpi="300" orientation="portrait" scale="7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L6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3" max="3" width="12.8515625" style="0" bestFit="1" customWidth="1"/>
    <col min="9" max="9" width="9.140625" style="91" customWidth="1"/>
    <col min="10" max="10" width="9.140625" style="92" customWidth="1"/>
    <col min="11" max="11" width="10.28125" style="93" bestFit="1" customWidth="1"/>
    <col min="12" max="12" width="9.140625" style="92" customWidth="1"/>
  </cols>
  <sheetData>
    <row r="3" spans="9:12" ht="12.75">
      <c r="I3" s="91" t="s">
        <v>0</v>
      </c>
      <c r="J3" s="92" t="s">
        <v>1</v>
      </c>
      <c r="K3" s="93" t="s">
        <v>2</v>
      </c>
      <c r="L3" s="92" t="s">
        <v>3</v>
      </c>
    </row>
    <row r="6" spans="1:8" ht="12.75">
      <c r="A6">
        <v>1</v>
      </c>
      <c r="B6" t="s">
        <v>4</v>
      </c>
      <c r="D6" s="99"/>
      <c r="E6" s="100"/>
      <c r="F6" s="100"/>
      <c r="G6" s="100"/>
      <c r="H6" s="120" t="s">
        <v>103</v>
      </c>
    </row>
    <row r="9" spans="1:12" ht="12.75">
      <c r="A9">
        <v>2</v>
      </c>
      <c r="B9" t="s">
        <v>6</v>
      </c>
      <c r="D9" s="94" t="s">
        <v>84</v>
      </c>
      <c r="E9" t="s">
        <v>89</v>
      </c>
      <c r="I9" s="91">
        <v>0</v>
      </c>
      <c r="J9" s="44">
        <f>VLOOKUP(D9,warhead,2,0)</f>
        <v>2</v>
      </c>
      <c r="K9" s="18">
        <f>VLOOKUP(D9,warhead,3,0)</f>
        <v>0.4</v>
      </c>
      <c r="L9" s="44">
        <f>VLOOKUP(D9,warhead,4,0)</f>
        <v>2</v>
      </c>
    </row>
    <row r="11" spans="1:2" ht="12.75">
      <c r="A11">
        <v>3</v>
      </c>
      <c r="B11" t="s">
        <v>5</v>
      </c>
    </row>
    <row r="12" spans="3:12" ht="12.75">
      <c r="C12" t="s">
        <v>19</v>
      </c>
      <c r="I12" s="2">
        <v>0.2</v>
      </c>
      <c r="J12" s="44">
        <v>0.1</v>
      </c>
      <c r="K12" s="18">
        <v>0.1</v>
      </c>
      <c r="L12" s="44">
        <v>0.1</v>
      </c>
    </row>
    <row r="13" spans="3:12" ht="12.75">
      <c r="C13" t="s">
        <v>7</v>
      </c>
      <c r="E13" s="16" t="s">
        <v>8</v>
      </c>
      <c r="F13" s="72">
        <v>1</v>
      </c>
      <c r="I13" s="2">
        <f>5*F13</f>
        <v>5</v>
      </c>
      <c r="J13" s="44">
        <f>1*F13</f>
        <v>1</v>
      </c>
      <c r="K13" s="95">
        <v>0.12</v>
      </c>
      <c r="L13" s="44">
        <f>0.1*F13</f>
        <v>0.1</v>
      </c>
    </row>
    <row r="14" spans="5:6" ht="12.75">
      <c r="E14" s="16" t="s">
        <v>17</v>
      </c>
      <c r="F14" s="72">
        <v>1</v>
      </c>
    </row>
    <row r="15" spans="5:6" ht="12.75">
      <c r="E15" s="16" t="s">
        <v>90</v>
      </c>
      <c r="F15" s="72">
        <v>10</v>
      </c>
    </row>
    <row r="17" spans="1:2" ht="12.75">
      <c r="A17">
        <v>4</v>
      </c>
      <c r="B17" t="s">
        <v>18</v>
      </c>
    </row>
    <row r="18" spans="3:12" ht="12.75">
      <c r="C18" t="s">
        <v>20</v>
      </c>
      <c r="E18" s="72">
        <v>0.07</v>
      </c>
      <c r="F18" t="s">
        <v>27</v>
      </c>
      <c r="G18" s="72" t="s">
        <v>32</v>
      </c>
      <c r="I18" s="2">
        <v>0</v>
      </c>
      <c r="J18" s="44">
        <f>VLOOKUP(E18,powerplant,IF(G18="old com",2,IF(G18="new mil",6,4)))</f>
        <v>0.25</v>
      </c>
      <c r="K18" s="44">
        <f>VLOOKUP(E18,powerplant,IF(G18="old com",3,IF(G18="new mil",7,5)))</f>
        <v>0.1</v>
      </c>
      <c r="L18" s="44">
        <f>J18</f>
        <v>0.25</v>
      </c>
    </row>
    <row r="19" spans="3:12" ht="12.75">
      <c r="C19" t="s">
        <v>21</v>
      </c>
      <c r="E19" s="98">
        <f>E18</f>
        <v>0.07</v>
      </c>
      <c r="F19" t="s">
        <v>27</v>
      </c>
      <c r="G19" s="72" t="s">
        <v>92</v>
      </c>
      <c r="I19" s="2">
        <v>0</v>
      </c>
      <c r="J19" s="44">
        <f>VLOOKUP(E19,stutterwarp,IF(G19="old com",2,IF(G19="new mil",8,5)))</f>
        <v>0.0875</v>
      </c>
      <c r="K19" s="44">
        <f>VLOOKUP(E19,stutterwarp,IF(G19="old com",3,IF(G19="new mil",9,6)))</f>
        <v>0.195</v>
      </c>
      <c r="L19" s="44">
        <f>VLOOKUP(E19,stutterwarp,IF(G19="old com",4,IF(I19="new mil",10,7)))</f>
        <v>1.5</v>
      </c>
    </row>
    <row r="20" spans="3:12" ht="12.75">
      <c r="C20" t="s">
        <v>22</v>
      </c>
      <c r="E20" s="72">
        <v>8</v>
      </c>
      <c r="F20" t="s">
        <v>36</v>
      </c>
      <c r="I20" s="91">
        <v>0</v>
      </c>
      <c r="J20" s="44">
        <f>1.65*L20</f>
        <v>0.41580000000000006</v>
      </c>
      <c r="K20" s="93">
        <v>0</v>
      </c>
      <c r="L20" s="44">
        <f>VLOOKUP(E18,powerplant,9)*E20</f>
        <v>0.25200000000000006</v>
      </c>
    </row>
    <row r="21" ht="12.75">
      <c r="D21" s="121" t="s">
        <v>33</v>
      </c>
    </row>
    <row r="22" spans="9:12" ht="12.75">
      <c r="I22" s="131">
        <f>SUM(I9:I20)</f>
        <v>5.2</v>
      </c>
      <c r="J22" s="132">
        <f>SUM(J9:J20)</f>
        <v>3.8533</v>
      </c>
      <c r="K22" s="132">
        <f>SUM(K9:K20)</f>
        <v>0.915</v>
      </c>
      <c r="L22" s="132">
        <f>SUM(L9:L20)</f>
        <v>4.202</v>
      </c>
    </row>
    <row r="24" spans="1:7" ht="12.75">
      <c r="A24">
        <v>5</v>
      </c>
      <c r="B24" t="s">
        <v>37</v>
      </c>
      <c r="C24" t="s">
        <v>38</v>
      </c>
      <c r="D24" s="72">
        <v>1</v>
      </c>
      <c r="F24" t="s">
        <v>69</v>
      </c>
      <c r="G24" s="73">
        <f>PI()*((D24/2)^2)</f>
        <v>0.7853981633974483</v>
      </c>
    </row>
    <row r="25" spans="3:7" ht="12.75">
      <c r="C25" t="s">
        <v>39</v>
      </c>
      <c r="D25" s="72">
        <v>7</v>
      </c>
      <c r="F25" t="s">
        <v>70</v>
      </c>
      <c r="G25" s="73">
        <f>D25*D24</f>
        <v>7</v>
      </c>
    </row>
    <row r="26" spans="3:10" ht="12.75">
      <c r="C26" t="s">
        <v>40</v>
      </c>
      <c r="D26" s="65" t="str">
        <f>CONCATENATE(D24,"x",D25)</f>
        <v>1x7</v>
      </c>
      <c r="E26" s="16"/>
      <c r="F26" s="67"/>
      <c r="J26" s="44">
        <f>-VLOOKUP(D26,hull,3)</f>
        <v>-5.497787143782138</v>
      </c>
    </row>
    <row r="29" spans="4:9" ht="12.75">
      <c r="D29" s="16" t="s">
        <v>42</v>
      </c>
      <c r="E29" s="68" t="s">
        <v>50</v>
      </c>
      <c r="F29" s="69"/>
      <c r="G29" s="12"/>
      <c r="H29" s="12"/>
      <c r="I29" s="12"/>
    </row>
    <row r="30" spans="4:12" ht="12.75">
      <c r="D30" s="16" t="s">
        <v>43</v>
      </c>
      <c r="E30" s="74">
        <f>VLOOKUP(D26,hull,2)</f>
        <v>0.15</v>
      </c>
      <c r="F30" s="12"/>
      <c r="G30" s="12"/>
      <c r="K30" s="96">
        <f>E36*E33</f>
        <v>0.009</v>
      </c>
      <c r="L30" s="97">
        <f>E36*E34</f>
        <v>2.4</v>
      </c>
    </row>
    <row r="31" spans="4:9" ht="12.75">
      <c r="D31" s="16" t="s">
        <v>44</v>
      </c>
      <c r="E31" s="70">
        <v>0.6</v>
      </c>
      <c r="F31" s="12"/>
      <c r="G31" s="12"/>
      <c r="H31" s="12"/>
      <c r="I31" s="12"/>
    </row>
    <row r="32" spans="4:9" ht="12.75">
      <c r="D32" s="16" t="s">
        <v>45</v>
      </c>
      <c r="E32" s="70">
        <v>4</v>
      </c>
      <c r="F32" s="12"/>
      <c r="G32" s="12"/>
      <c r="H32" s="12"/>
      <c r="I32" s="12"/>
    </row>
    <row r="33" spans="4:9" ht="12.75">
      <c r="D33" s="16" t="s">
        <v>46</v>
      </c>
      <c r="E33" s="70">
        <v>0.015</v>
      </c>
      <c r="F33" s="12"/>
      <c r="G33" s="12"/>
      <c r="H33" s="12"/>
      <c r="I33" s="12"/>
    </row>
    <row r="34" spans="4:9" ht="12.75">
      <c r="D34" s="16" t="s">
        <v>47</v>
      </c>
      <c r="E34" s="71">
        <v>4</v>
      </c>
      <c r="F34" s="12"/>
      <c r="G34" s="12"/>
      <c r="H34" s="12"/>
      <c r="I34" s="12"/>
    </row>
    <row r="35" spans="4:9" ht="12.75">
      <c r="D35" s="16" t="s">
        <v>48</v>
      </c>
      <c r="E35" s="72">
        <v>1</v>
      </c>
      <c r="F35" s="12"/>
      <c r="G35" s="12"/>
      <c r="H35" s="12"/>
      <c r="I35" s="12"/>
    </row>
    <row r="36" spans="4:12" ht="13.5" thickBot="1">
      <c r="D36" s="16" t="s">
        <v>49</v>
      </c>
      <c r="E36" s="73">
        <f>E30*E32*E35</f>
        <v>0.6</v>
      </c>
      <c r="F36" s="12"/>
      <c r="G36" s="12"/>
      <c r="H36" s="12"/>
      <c r="I36" s="75"/>
      <c r="J36" s="133">
        <f>SUM(J22:J35)</f>
        <v>-1.644487143782138</v>
      </c>
      <c r="K36" s="133">
        <f>SUM(K22:K35)</f>
        <v>0.924</v>
      </c>
      <c r="L36" s="133">
        <f>SUM(L22:L35)</f>
        <v>6.602</v>
      </c>
    </row>
    <row r="37" ht="13.5" thickTop="1">
      <c r="H37" s="8"/>
    </row>
    <row r="38" ht="12.75">
      <c r="A38" s="87" t="s">
        <v>74</v>
      </c>
    </row>
    <row r="40" spans="1:10" ht="12.75">
      <c r="A40">
        <v>1</v>
      </c>
      <c r="B40" t="s">
        <v>51</v>
      </c>
      <c r="C40" s="77">
        <f>L36</f>
        <v>6.602</v>
      </c>
      <c r="D40" t="s">
        <v>34</v>
      </c>
      <c r="G40" s="12"/>
      <c r="H40" s="12"/>
      <c r="I40" s="12"/>
      <c r="J40" s="12"/>
    </row>
    <row r="41" spans="7:10" ht="12.75">
      <c r="G41" s="12"/>
      <c r="H41" s="12"/>
      <c r="I41" s="12"/>
      <c r="J41" s="12"/>
    </row>
    <row r="42" spans="1:10" ht="12.75">
      <c r="A42">
        <v>2</v>
      </c>
      <c r="B42" t="s">
        <v>71</v>
      </c>
      <c r="D42" s="73">
        <f>(E18/L36)^(1/3)*IF(G19="old com",14.5,IF(G19="new mil",17.5,16.05))</f>
        <v>3.5260019116064445</v>
      </c>
      <c r="E42" s="16" t="s">
        <v>72</v>
      </c>
      <c r="F42" s="67">
        <f>ROUND(D42*2,0)</f>
        <v>7</v>
      </c>
      <c r="G42" s="12"/>
      <c r="H42" s="12"/>
      <c r="I42" s="12"/>
      <c r="J42" s="12"/>
    </row>
    <row r="43" spans="7:10" ht="12.75">
      <c r="G43" s="12"/>
      <c r="H43" s="12"/>
      <c r="I43" s="12"/>
      <c r="J43" s="12"/>
    </row>
    <row r="44" spans="1:10" ht="12.75">
      <c r="A44">
        <v>3</v>
      </c>
      <c r="B44" t="s">
        <v>52</v>
      </c>
      <c r="C44" s="78"/>
      <c r="D44" s="65" t="str">
        <f>D9</f>
        <v>10x2</v>
      </c>
      <c r="E44" t="s">
        <v>89</v>
      </c>
      <c r="G44" s="12"/>
      <c r="H44" s="12"/>
      <c r="I44" s="12"/>
      <c r="J44" s="12"/>
    </row>
    <row r="45" spans="7:10" ht="12.75">
      <c r="G45" s="12"/>
      <c r="H45" s="12"/>
      <c r="I45" s="12"/>
      <c r="J45" s="12"/>
    </row>
    <row r="46" spans="1:10" ht="12.75">
      <c r="A46">
        <v>5</v>
      </c>
      <c r="B46" t="s">
        <v>53</v>
      </c>
      <c r="C46" s="77">
        <f>K36*1000000/2</f>
        <v>462000</v>
      </c>
      <c r="E46" t="s">
        <v>91</v>
      </c>
      <c r="G46" s="12"/>
      <c r="H46" s="12"/>
      <c r="I46" s="12"/>
      <c r="J46" s="12"/>
    </row>
    <row r="47" spans="7:10" ht="12.75">
      <c r="G47" s="12"/>
      <c r="H47" s="12"/>
      <c r="I47" s="12"/>
      <c r="J47" s="12"/>
    </row>
    <row r="48" spans="1:10" ht="12.75">
      <c r="A48">
        <v>6</v>
      </c>
      <c r="B48" t="s">
        <v>54</v>
      </c>
      <c r="G48" s="12"/>
      <c r="H48" s="12"/>
      <c r="I48" s="12"/>
      <c r="J48" s="12"/>
    </row>
    <row r="49" spans="3:10" ht="12.75">
      <c r="C49" t="s">
        <v>55</v>
      </c>
      <c r="D49" s="77">
        <f>G24</f>
        <v>0.7853981633974483</v>
      </c>
      <c r="E49" s="79">
        <f>CEILING(D49*E31,1)</f>
        <v>1</v>
      </c>
      <c r="F49" s="80">
        <f>F14</f>
        <v>1</v>
      </c>
      <c r="G49" s="80">
        <f>E49+F49</f>
        <v>2</v>
      </c>
      <c r="H49" s="81">
        <f>IF(G49&lt;7,1,IF(G49&lt;23,2,IF(G49&lt;63,3,IF(G49&lt;124,4,5))))</f>
        <v>1</v>
      </c>
      <c r="I49" s="80"/>
      <c r="J49" s="81"/>
    </row>
    <row r="50" spans="4:10" ht="12.75">
      <c r="D50" s="77">
        <f>G25</f>
        <v>7</v>
      </c>
      <c r="E50" s="79">
        <f>CEILING(D50*E31,1)</f>
        <v>5</v>
      </c>
      <c r="F50" s="80">
        <f>F14</f>
        <v>1</v>
      </c>
      <c r="G50" s="80">
        <f>E50+F49</f>
        <v>6</v>
      </c>
      <c r="H50" s="81">
        <f>IF(G50&lt;7,1,IF(G50&lt;23,2,IF(G50&lt;63,3,IF(G50&lt;124,4,5))))</f>
        <v>1</v>
      </c>
      <c r="I50" s="80"/>
      <c r="J50" s="81"/>
    </row>
    <row r="51" spans="3:10" ht="12.75">
      <c r="C51" s="16" t="s">
        <v>57</v>
      </c>
      <c r="D51" s="16" t="s">
        <v>58</v>
      </c>
      <c r="E51" s="16" t="s">
        <v>59</v>
      </c>
      <c r="F51" s="82" t="s">
        <v>60</v>
      </c>
      <c r="G51" s="82" t="s">
        <v>61</v>
      </c>
      <c r="H51" s="83" t="s">
        <v>62</v>
      </c>
      <c r="I51" s="82"/>
      <c r="J51" s="82"/>
    </row>
    <row r="52" spans="7:10" ht="12.75">
      <c r="G52" s="12"/>
      <c r="H52" s="12"/>
      <c r="I52" s="12"/>
      <c r="J52" s="12"/>
    </row>
    <row r="53" spans="1:10" ht="12.75">
      <c r="A53">
        <v>7</v>
      </c>
      <c r="B53" t="s">
        <v>63</v>
      </c>
      <c r="D53" s="67">
        <f>IF(E18&lt;=1,1,IF(E18&lt;=2,2,IF(E18&lt;=3,3,4)))</f>
        <v>1</v>
      </c>
      <c r="G53" s="12"/>
      <c r="H53" s="12"/>
      <c r="I53" s="12"/>
      <c r="J53" s="12"/>
    </row>
    <row r="54" spans="7:10" ht="12.75">
      <c r="G54" s="12"/>
      <c r="H54" s="12"/>
      <c r="I54" s="12"/>
      <c r="J54" s="12"/>
    </row>
    <row r="55" spans="1:10" ht="12.75">
      <c r="A55">
        <v>8</v>
      </c>
      <c r="B55" t="s">
        <v>64</v>
      </c>
      <c r="D55" s="67">
        <f>CEILING(H55/4,1)</f>
        <v>1</v>
      </c>
      <c r="E55" s="84" t="s">
        <v>65</v>
      </c>
      <c r="F55" s="67">
        <f>CEILING(H55/2,1)</f>
        <v>1</v>
      </c>
      <c r="G55" s="85" t="s">
        <v>65</v>
      </c>
      <c r="H55" s="79">
        <f>CEILING(E36/E32,1)</f>
        <v>1</v>
      </c>
      <c r="I55" s="12"/>
      <c r="J55" s="12"/>
    </row>
    <row r="56" spans="4:10" ht="12.75">
      <c r="D56" s="67"/>
      <c r="E56" s="84"/>
      <c r="F56" s="67"/>
      <c r="G56" s="85"/>
      <c r="H56" s="79"/>
      <c r="I56" s="12"/>
      <c r="J56" s="12"/>
    </row>
    <row r="57" spans="1:10" ht="12.75">
      <c r="A57">
        <v>9</v>
      </c>
      <c r="B57" t="s">
        <v>73</v>
      </c>
      <c r="D57" s="67"/>
      <c r="E57" s="67">
        <f>CEILING(G57*0.2,1)</f>
        <v>1</v>
      </c>
      <c r="F57" s="84" t="s">
        <v>65</v>
      </c>
      <c r="G57" s="86">
        <f>CEILING(J18/5,1)</f>
        <v>1</v>
      </c>
      <c r="H57" s="79"/>
      <c r="I57" s="12"/>
      <c r="J57" s="12"/>
    </row>
    <row r="58" spans="7:10" ht="12.75">
      <c r="G58" s="12"/>
      <c r="H58" s="12"/>
      <c r="I58" s="12"/>
      <c r="J58" s="12"/>
    </row>
    <row r="59" spans="1:10" ht="12.75">
      <c r="A59">
        <v>10</v>
      </c>
      <c r="B59" t="s">
        <v>66</v>
      </c>
      <c r="G59" s="12"/>
      <c r="H59" s="12"/>
      <c r="I59" s="12"/>
      <c r="J59" s="12"/>
    </row>
    <row r="60" spans="3:10" ht="12.75">
      <c r="C60" t="s">
        <v>55</v>
      </c>
      <c r="D60" s="77">
        <f>D49</f>
        <v>0.7853981633974483</v>
      </c>
      <c r="E60" s="67">
        <f>IF(D60&lt;5,-4,IF(D60&lt;30,-3,IF(D60&lt;115,-2,IF(D60&lt;315,-1,0))))</f>
        <v>-4</v>
      </c>
      <c r="G60" s="12"/>
      <c r="H60" s="12"/>
      <c r="I60" s="12"/>
      <c r="J60" s="12"/>
    </row>
    <row r="61" spans="3:10" ht="12.75">
      <c r="C61" t="s">
        <v>56</v>
      </c>
      <c r="D61" s="77">
        <f>D50</f>
        <v>7</v>
      </c>
      <c r="E61" s="67">
        <f>IF(D61&lt;5,-4,IF(D61&lt;30,-3,IF(D61&lt;115,-2,IF(D61&lt;315,-1,0))))</f>
        <v>-3</v>
      </c>
      <c r="G61" s="12"/>
      <c r="H61" s="12"/>
      <c r="I61" s="12"/>
      <c r="J61" s="12"/>
    </row>
    <row r="62" spans="4:10" ht="12.75">
      <c r="D62" s="16" t="s">
        <v>58</v>
      </c>
      <c r="E62" s="16" t="s">
        <v>67</v>
      </c>
      <c r="G62" s="12"/>
      <c r="H62" s="12"/>
      <c r="I62" s="12"/>
      <c r="J62" s="12"/>
    </row>
    <row r="63" spans="7:10" ht="12.75">
      <c r="G63" s="12"/>
      <c r="H63" s="12"/>
      <c r="I63" s="12"/>
      <c r="J63" s="12"/>
    </row>
    <row r="64" spans="1:10" ht="12.75">
      <c r="A64">
        <v>12</v>
      </c>
      <c r="B64" t="s">
        <v>68</v>
      </c>
      <c r="D64" s="67">
        <f>E35</f>
        <v>1</v>
      </c>
      <c r="G64" s="12"/>
      <c r="H64" s="12"/>
      <c r="I64" s="12"/>
      <c r="J64" s="12"/>
    </row>
  </sheetData>
  <printOptions/>
  <pageMargins left="0.75" right="0.75" top="1" bottom="1" header="0.5" footer="0.5"/>
  <pageSetup horizontalDpi="300" verticalDpi="300" orientation="portrait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N3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4" max="4" width="2.7109375" style="0" customWidth="1"/>
    <col min="9" max="9" width="9.140625" style="12" customWidth="1"/>
    <col min="10" max="10" width="2.7109375" style="0" customWidth="1"/>
    <col min="14" max="14" width="9.140625" style="13" customWidth="1"/>
  </cols>
  <sheetData>
    <row r="1" spans="1:14" s="87" customFormat="1" ht="12.75">
      <c r="A1" s="122" t="s">
        <v>9</v>
      </c>
      <c r="B1" s="123"/>
      <c r="C1" s="124"/>
      <c r="E1" s="122" t="s">
        <v>10</v>
      </c>
      <c r="F1" s="123"/>
      <c r="G1" s="123"/>
      <c r="H1" s="123"/>
      <c r="I1" s="124"/>
      <c r="K1" s="122" t="s">
        <v>88</v>
      </c>
      <c r="L1" s="123"/>
      <c r="M1" s="123"/>
      <c r="N1" s="124"/>
    </row>
    <row r="2" spans="1:14" s="87" customFormat="1" ht="12.75">
      <c r="A2" s="117" t="s">
        <v>11</v>
      </c>
      <c r="B2" s="117" t="s">
        <v>12</v>
      </c>
      <c r="C2" s="117" t="s">
        <v>76</v>
      </c>
      <c r="E2" s="117" t="s">
        <v>13</v>
      </c>
      <c r="F2" s="117" t="s">
        <v>14</v>
      </c>
      <c r="G2" s="118" t="s">
        <v>41</v>
      </c>
      <c r="H2" s="117" t="s">
        <v>15</v>
      </c>
      <c r="I2" s="119" t="s">
        <v>16</v>
      </c>
      <c r="K2" s="118" t="s">
        <v>6</v>
      </c>
      <c r="L2" s="117" t="s">
        <v>16</v>
      </c>
      <c r="M2" s="117" t="s">
        <v>76</v>
      </c>
      <c r="N2" s="119" t="s">
        <v>3</v>
      </c>
    </row>
    <row r="3" spans="1:14" ht="12.75">
      <c r="A3" s="111">
        <v>0</v>
      </c>
      <c r="B3" s="111">
        <v>10</v>
      </c>
      <c r="C3" s="116">
        <v>0.01</v>
      </c>
      <c r="E3" s="111">
        <v>1</v>
      </c>
      <c r="F3" s="111">
        <v>1</v>
      </c>
      <c r="G3" s="107" t="str">
        <f>CONCATENATE(E3,"x",F3)</f>
        <v>1x1</v>
      </c>
      <c r="H3" s="112">
        <v>0.02</v>
      </c>
      <c r="I3" s="112">
        <f aca="true" t="shared" si="0" ref="I3:I38">PI()*(E3/2)^2*F3</f>
        <v>0.7853981633974483</v>
      </c>
      <c r="K3" s="104" t="s">
        <v>97</v>
      </c>
      <c r="L3" s="105">
        <v>0.1</v>
      </c>
      <c r="M3" s="106">
        <v>0.02</v>
      </c>
      <c r="N3" s="105">
        <v>0.1</v>
      </c>
    </row>
    <row r="4" spans="1:14" ht="12.75">
      <c r="A4" s="4">
        <v>1</v>
      </c>
      <c r="B4" s="4">
        <v>34</v>
      </c>
      <c r="C4" s="15">
        <v>0.01</v>
      </c>
      <c r="E4" s="111">
        <v>1</v>
      </c>
      <c r="F4" s="111">
        <v>2</v>
      </c>
      <c r="G4" s="107" t="str">
        <f aca="true" t="shared" si="1" ref="G4:G38">CONCATENATE(E4,"x",F4)</f>
        <v>1x2</v>
      </c>
      <c r="H4" s="112">
        <v>0.04</v>
      </c>
      <c r="I4" s="112">
        <f t="shared" si="0"/>
        <v>1.5707963267948966</v>
      </c>
      <c r="K4" s="104" t="s">
        <v>98</v>
      </c>
      <c r="L4" s="105">
        <v>0.2</v>
      </c>
      <c r="M4" s="106">
        <v>0.04</v>
      </c>
      <c r="N4" s="105">
        <v>0.2</v>
      </c>
    </row>
    <row r="5" spans="1:14" ht="12.75">
      <c r="A5" s="111">
        <v>3</v>
      </c>
      <c r="B5" s="111">
        <v>18</v>
      </c>
      <c r="C5" s="116">
        <v>0.04</v>
      </c>
      <c r="E5" s="111">
        <v>1</v>
      </c>
      <c r="F5" s="111">
        <v>3</v>
      </c>
      <c r="G5" s="107" t="str">
        <f t="shared" si="1"/>
        <v>1x3</v>
      </c>
      <c r="H5" s="112">
        <v>0.06</v>
      </c>
      <c r="I5" s="112">
        <f t="shared" si="0"/>
        <v>2.356194490192345</v>
      </c>
      <c r="K5" s="104" t="s">
        <v>99</v>
      </c>
      <c r="L5" s="105">
        <v>0.3</v>
      </c>
      <c r="M5" s="106">
        <v>0.06</v>
      </c>
      <c r="N5" s="105">
        <v>0.3</v>
      </c>
    </row>
    <row r="6" spans="1:14" ht="12.75">
      <c r="A6" s="111">
        <v>3</v>
      </c>
      <c r="B6" s="111">
        <v>4</v>
      </c>
      <c r="C6" s="116">
        <v>0.05</v>
      </c>
      <c r="E6" s="111">
        <v>1</v>
      </c>
      <c r="F6" s="111">
        <v>4</v>
      </c>
      <c r="G6" s="107" t="str">
        <f t="shared" si="1"/>
        <v>1x4</v>
      </c>
      <c r="H6" s="112">
        <v>0.08</v>
      </c>
      <c r="I6" s="112">
        <f t="shared" si="0"/>
        <v>3.141592653589793</v>
      </c>
      <c r="K6" s="104" t="s">
        <v>100</v>
      </c>
      <c r="L6" s="105">
        <v>0.4</v>
      </c>
      <c r="M6" s="106">
        <v>0.08</v>
      </c>
      <c r="N6" s="105">
        <v>0.4</v>
      </c>
    </row>
    <row r="7" spans="1:14" ht="12.75">
      <c r="A7" s="4">
        <v>5</v>
      </c>
      <c r="B7" s="4">
        <v>10</v>
      </c>
      <c r="C7" s="15">
        <v>0.06</v>
      </c>
      <c r="E7" s="111">
        <v>1</v>
      </c>
      <c r="F7" s="111">
        <v>5</v>
      </c>
      <c r="G7" s="107" t="str">
        <f t="shared" si="1"/>
        <v>1x5</v>
      </c>
      <c r="H7" s="112">
        <v>0.11</v>
      </c>
      <c r="I7" s="112">
        <f t="shared" si="0"/>
        <v>3.9269908169872414</v>
      </c>
      <c r="K7" s="104" t="s">
        <v>101</v>
      </c>
      <c r="L7" s="105">
        <v>0.5</v>
      </c>
      <c r="M7" s="106">
        <v>0.1</v>
      </c>
      <c r="N7" s="105">
        <v>0.5</v>
      </c>
    </row>
    <row r="8" spans="1:14" ht="12.75">
      <c r="A8" s="4">
        <v>5</v>
      </c>
      <c r="B8" s="4">
        <v>0</v>
      </c>
      <c r="C8" s="15">
        <v>0.08</v>
      </c>
      <c r="E8" s="111">
        <v>1</v>
      </c>
      <c r="F8" s="111">
        <v>6</v>
      </c>
      <c r="G8" s="107" t="str">
        <f t="shared" si="1"/>
        <v>1x6</v>
      </c>
      <c r="H8" s="112">
        <v>0.13</v>
      </c>
      <c r="I8" s="112">
        <f t="shared" si="0"/>
        <v>4.71238898038469</v>
      </c>
      <c r="K8" s="104" t="s">
        <v>102</v>
      </c>
      <c r="L8" s="105">
        <v>0.6</v>
      </c>
      <c r="M8" s="106">
        <v>0.12</v>
      </c>
      <c r="N8" s="105">
        <v>0.6</v>
      </c>
    </row>
    <row r="9" spans="1:14" ht="12.75">
      <c r="A9" s="111">
        <v>6</v>
      </c>
      <c r="B9" s="111">
        <v>36</v>
      </c>
      <c r="C9" s="116">
        <v>0.04</v>
      </c>
      <c r="E9" s="111">
        <v>1</v>
      </c>
      <c r="F9" s="111">
        <v>7</v>
      </c>
      <c r="G9" s="107" t="str">
        <f t="shared" si="1"/>
        <v>1x7</v>
      </c>
      <c r="H9" s="112">
        <v>0.15</v>
      </c>
      <c r="I9" s="112">
        <f t="shared" si="0"/>
        <v>5.497787143782138</v>
      </c>
      <c r="K9" s="66" t="s">
        <v>75</v>
      </c>
      <c r="L9" s="89">
        <v>0.2</v>
      </c>
      <c r="M9" s="88">
        <v>0.04</v>
      </c>
      <c r="N9" s="90">
        <v>0.2</v>
      </c>
    </row>
    <row r="10" spans="1:14" ht="12.75">
      <c r="A10" s="111">
        <v>6</v>
      </c>
      <c r="B10" s="111">
        <v>6</v>
      </c>
      <c r="C10" s="116">
        <v>0.07</v>
      </c>
      <c r="E10" s="111">
        <v>1</v>
      </c>
      <c r="F10" s="111">
        <v>8</v>
      </c>
      <c r="G10" s="107" t="str">
        <f t="shared" si="1"/>
        <v>1x8</v>
      </c>
      <c r="H10" s="112">
        <v>0.19</v>
      </c>
      <c r="I10" s="112">
        <f t="shared" si="0"/>
        <v>6.283185307179586</v>
      </c>
      <c r="K10" s="66" t="s">
        <v>80</v>
      </c>
      <c r="L10" s="89">
        <v>0.4</v>
      </c>
      <c r="M10" s="88">
        <v>0.08</v>
      </c>
      <c r="N10" s="90">
        <v>0.4</v>
      </c>
    </row>
    <row r="11" spans="1:14" ht="12.75">
      <c r="A11" s="4">
        <v>10</v>
      </c>
      <c r="B11" s="4">
        <v>38</v>
      </c>
      <c r="C11" s="15">
        <v>0.09</v>
      </c>
      <c r="E11" s="111">
        <v>1</v>
      </c>
      <c r="F11" s="111">
        <v>9</v>
      </c>
      <c r="G11" s="107" t="str">
        <f t="shared" si="1"/>
        <v>1x9</v>
      </c>
      <c r="H11" s="112">
        <v>0.2</v>
      </c>
      <c r="I11" s="112">
        <f t="shared" si="0"/>
        <v>7.0685834705770345</v>
      </c>
      <c r="K11" s="66" t="s">
        <v>81</v>
      </c>
      <c r="L11" s="89">
        <v>0.6</v>
      </c>
      <c r="M11" s="88">
        <v>0.12</v>
      </c>
      <c r="N11" s="90">
        <v>0.6</v>
      </c>
    </row>
    <row r="12" spans="1:14" ht="12.75">
      <c r="A12" s="4">
        <v>10</v>
      </c>
      <c r="B12" s="4">
        <v>1</v>
      </c>
      <c r="C12" s="15">
        <v>0.12</v>
      </c>
      <c r="E12" s="111">
        <v>1</v>
      </c>
      <c r="F12" s="111">
        <v>10</v>
      </c>
      <c r="G12" s="107" t="str">
        <f t="shared" si="1"/>
        <v>1x10</v>
      </c>
      <c r="H12" s="112">
        <v>0.22</v>
      </c>
      <c r="I12" s="112">
        <f t="shared" si="0"/>
        <v>7.853981633974483</v>
      </c>
      <c r="K12" s="66" t="s">
        <v>82</v>
      </c>
      <c r="L12" s="89">
        <v>0.8</v>
      </c>
      <c r="M12" s="88">
        <v>0.16</v>
      </c>
      <c r="N12" s="90">
        <v>0.8</v>
      </c>
    </row>
    <row r="13" spans="1:14" ht="12.75">
      <c r="A13" s="111">
        <v>12</v>
      </c>
      <c r="B13" s="111">
        <v>41</v>
      </c>
      <c r="C13" s="116">
        <v>0.3</v>
      </c>
      <c r="E13" s="4">
        <v>2</v>
      </c>
      <c r="F13" s="4">
        <v>3</v>
      </c>
      <c r="G13" s="66" t="str">
        <f t="shared" si="1"/>
        <v>2x3</v>
      </c>
      <c r="H13" s="5">
        <v>0.26</v>
      </c>
      <c r="I13" s="5">
        <f t="shared" si="0"/>
        <v>9.42477796076938</v>
      </c>
      <c r="K13" s="66" t="s">
        <v>83</v>
      </c>
      <c r="L13" s="89">
        <v>1</v>
      </c>
      <c r="M13" s="88">
        <v>0.2</v>
      </c>
      <c r="N13" s="90">
        <v>1</v>
      </c>
    </row>
    <row r="14" spans="1:14" ht="12.75">
      <c r="A14" s="111">
        <v>12</v>
      </c>
      <c r="B14" s="111">
        <v>10</v>
      </c>
      <c r="C14" s="116">
        <v>0.5</v>
      </c>
      <c r="E14" s="4">
        <v>2</v>
      </c>
      <c r="F14" s="4">
        <v>4</v>
      </c>
      <c r="G14" s="66" t="str">
        <f t="shared" si="1"/>
        <v>2x4</v>
      </c>
      <c r="H14" s="5">
        <v>0.35</v>
      </c>
      <c r="I14" s="5">
        <f t="shared" si="0"/>
        <v>12.566370614359172</v>
      </c>
      <c r="K14" s="66" t="s">
        <v>84</v>
      </c>
      <c r="L14" s="89">
        <v>2</v>
      </c>
      <c r="M14" s="88">
        <v>0.4</v>
      </c>
      <c r="N14" s="90">
        <v>2</v>
      </c>
    </row>
    <row r="15" spans="5:14" ht="12.75">
      <c r="E15" s="4">
        <v>2</v>
      </c>
      <c r="F15" s="4">
        <v>5</v>
      </c>
      <c r="G15" s="66" t="str">
        <f t="shared" si="1"/>
        <v>2x5</v>
      </c>
      <c r="H15" s="5">
        <v>0.44</v>
      </c>
      <c r="I15" s="5">
        <f t="shared" si="0"/>
        <v>15.707963267948966</v>
      </c>
      <c r="K15" s="107" t="s">
        <v>77</v>
      </c>
      <c r="L15" s="108">
        <v>0.3</v>
      </c>
      <c r="M15" s="109">
        <v>0.06</v>
      </c>
      <c r="N15" s="110">
        <v>0.3</v>
      </c>
    </row>
    <row r="16" spans="5:14" ht="12.75">
      <c r="E16" s="4">
        <v>2</v>
      </c>
      <c r="F16" s="4">
        <v>6</v>
      </c>
      <c r="G16" s="66" t="str">
        <f t="shared" si="1"/>
        <v>2x6</v>
      </c>
      <c r="H16" s="5">
        <v>0.53</v>
      </c>
      <c r="I16" s="5">
        <f t="shared" si="0"/>
        <v>18.84955592153876</v>
      </c>
      <c r="K16" s="107" t="s">
        <v>85</v>
      </c>
      <c r="L16" s="108">
        <v>0.6</v>
      </c>
      <c r="M16" s="109">
        <v>0.12</v>
      </c>
      <c r="N16" s="110">
        <v>0.6</v>
      </c>
    </row>
    <row r="17" spans="5:14" ht="12.75">
      <c r="E17" s="4">
        <v>2</v>
      </c>
      <c r="F17" s="4">
        <v>7</v>
      </c>
      <c r="G17" s="66" t="str">
        <f t="shared" si="1"/>
        <v>2x7</v>
      </c>
      <c r="H17" s="5">
        <v>0.62</v>
      </c>
      <c r="I17" s="5">
        <f t="shared" si="0"/>
        <v>21.991148575128552</v>
      </c>
      <c r="K17" s="107" t="s">
        <v>86</v>
      </c>
      <c r="L17" s="108">
        <v>0.9</v>
      </c>
      <c r="M17" s="109">
        <v>0.18</v>
      </c>
      <c r="N17" s="110">
        <v>0.9</v>
      </c>
    </row>
    <row r="18" spans="1:14" ht="12.75">
      <c r="A18" s="9"/>
      <c r="B18" s="10"/>
      <c r="C18" s="11"/>
      <c r="E18" s="4">
        <v>2</v>
      </c>
      <c r="F18" s="4">
        <v>8</v>
      </c>
      <c r="G18" s="66" t="str">
        <f t="shared" si="1"/>
        <v>2x8</v>
      </c>
      <c r="H18" s="5">
        <v>0.71</v>
      </c>
      <c r="I18" s="5">
        <f t="shared" si="0"/>
        <v>25.132741228718345</v>
      </c>
      <c r="K18" s="107" t="s">
        <v>87</v>
      </c>
      <c r="L18" s="108">
        <v>1.2</v>
      </c>
      <c r="M18" s="109">
        <v>0.24</v>
      </c>
      <c r="N18" s="110">
        <v>1.2</v>
      </c>
    </row>
    <row r="19" spans="1:14" ht="12.75">
      <c r="A19" s="11"/>
      <c r="B19" s="9"/>
      <c r="C19" s="11"/>
      <c r="E19" s="4">
        <v>2</v>
      </c>
      <c r="F19" s="4">
        <v>9</v>
      </c>
      <c r="G19" s="66" t="str">
        <f t="shared" si="1"/>
        <v>2x9</v>
      </c>
      <c r="H19" s="5">
        <v>0.8</v>
      </c>
      <c r="I19" s="5">
        <f t="shared" si="0"/>
        <v>28.274333882308138</v>
      </c>
      <c r="K19" s="66" t="s">
        <v>78</v>
      </c>
      <c r="L19" s="89">
        <v>0.4</v>
      </c>
      <c r="M19" s="88">
        <v>0.08</v>
      </c>
      <c r="N19" s="90">
        <v>0.4</v>
      </c>
    </row>
    <row r="20" spans="1:14" ht="12.75">
      <c r="A20" s="11"/>
      <c r="B20" s="9"/>
      <c r="C20" s="11"/>
      <c r="E20" s="4">
        <v>2</v>
      </c>
      <c r="F20" s="4">
        <v>10</v>
      </c>
      <c r="G20" s="66" t="str">
        <f t="shared" si="1"/>
        <v>2x10</v>
      </c>
      <c r="H20" s="5">
        <v>0.89</v>
      </c>
      <c r="I20" s="5">
        <f t="shared" si="0"/>
        <v>31.41592653589793</v>
      </c>
      <c r="K20" s="103" t="s">
        <v>94</v>
      </c>
      <c r="L20" s="101">
        <v>0.8</v>
      </c>
      <c r="M20" s="102">
        <v>0.16</v>
      </c>
      <c r="N20" s="101">
        <v>0.8</v>
      </c>
    </row>
    <row r="21" spans="1:14" ht="12.75">
      <c r="A21" s="11"/>
      <c r="B21" s="9"/>
      <c r="C21" s="11"/>
      <c r="E21" s="113">
        <v>3</v>
      </c>
      <c r="F21" s="113">
        <v>4</v>
      </c>
      <c r="G21" s="107" t="str">
        <f t="shared" si="1"/>
        <v>3x4</v>
      </c>
      <c r="H21" s="113">
        <v>0.95</v>
      </c>
      <c r="I21" s="114">
        <f t="shared" si="0"/>
        <v>28.274333882308138</v>
      </c>
      <c r="K21" s="103" t="s">
        <v>95</v>
      </c>
      <c r="L21" s="101">
        <v>1.2</v>
      </c>
      <c r="M21" s="102">
        <v>0.24</v>
      </c>
      <c r="N21" s="101">
        <v>1.2</v>
      </c>
    </row>
    <row r="22" spans="1:14" ht="12.75">
      <c r="A22" s="11"/>
      <c r="B22" s="9"/>
      <c r="C22" s="11"/>
      <c r="E22" s="111">
        <v>3</v>
      </c>
      <c r="F22" s="111">
        <v>5</v>
      </c>
      <c r="G22" s="107" t="str">
        <f t="shared" si="1"/>
        <v>3x5</v>
      </c>
      <c r="H22" s="115">
        <v>1</v>
      </c>
      <c r="I22" s="114">
        <f t="shared" si="0"/>
        <v>35.34291735288517</v>
      </c>
      <c r="K22" s="103" t="s">
        <v>96</v>
      </c>
      <c r="L22" s="101">
        <v>1.6</v>
      </c>
      <c r="M22" s="102">
        <v>0.32</v>
      </c>
      <c r="N22" s="101">
        <v>1.6</v>
      </c>
    </row>
    <row r="23" spans="1:14" ht="12.75">
      <c r="A23" s="11"/>
      <c r="B23" s="9"/>
      <c r="C23" s="11"/>
      <c r="E23" s="111">
        <v>3</v>
      </c>
      <c r="F23" s="111">
        <v>6</v>
      </c>
      <c r="G23" s="107" t="str">
        <f t="shared" si="1"/>
        <v>3x6</v>
      </c>
      <c r="H23" s="115">
        <v>1.18</v>
      </c>
      <c r="I23" s="114">
        <f t="shared" si="0"/>
        <v>42.411500823462205</v>
      </c>
      <c r="K23" s="107" t="s">
        <v>79</v>
      </c>
      <c r="L23" s="108">
        <v>0.5</v>
      </c>
      <c r="M23" s="109">
        <v>0.1</v>
      </c>
      <c r="N23" s="110">
        <v>0.5</v>
      </c>
    </row>
    <row r="24" spans="1:14" ht="12.75">
      <c r="A24" s="11"/>
      <c r="B24" s="11"/>
      <c r="C24" s="11"/>
      <c r="E24" s="111">
        <v>3</v>
      </c>
      <c r="F24" s="111">
        <v>7</v>
      </c>
      <c r="G24" s="107" t="str">
        <f t="shared" si="1"/>
        <v>3x7</v>
      </c>
      <c r="H24" s="115">
        <v>1.36</v>
      </c>
      <c r="I24" s="114">
        <f t="shared" si="0"/>
        <v>49.480084294039244</v>
      </c>
      <c r="K24" s="104" t="s">
        <v>93</v>
      </c>
      <c r="L24" s="105">
        <v>1</v>
      </c>
      <c r="M24" s="106">
        <v>0.2</v>
      </c>
      <c r="N24" s="105">
        <v>1</v>
      </c>
    </row>
    <row r="25" spans="1:9" ht="12.75">
      <c r="A25" s="11"/>
      <c r="B25" s="11"/>
      <c r="C25" s="11"/>
      <c r="E25" s="111">
        <v>3</v>
      </c>
      <c r="F25" s="111">
        <v>8</v>
      </c>
      <c r="G25" s="107" t="str">
        <f t="shared" si="1"/>
        <v>3x8</v>
      </c>
      <c r="H25" s="115">
        <v>1.54</v>
      </c>
      <c r="I25" s="114">
        <f t="shared" si="0"/>
        <v>56.548667764616276</v>
      </c>
    </row>
    <row r="26" spans="1:9" ht="12.75">
      <c r="A26" s="11"/>
      <c r="B26" s="11"/>
      <c r="C26" s="11"/>
      <c r="E26" s="111">
        <v>3</v>
      </c>
      <c r="F26" s="111">
        <v>9</v>
      </c>
      <c r="G26" s="107" t="str">
        <f t="shared" si="1"/>
        <v>3x9</v>
      </c>
      <c r="H26" s="115">
        <v>1.72</v>
      </c>
      <c r="I26" s="114">
        <f t="shared" si="0"/>
        <v>63.61725123519331</v>
      </c>
    </row>
    <row r="27" spans="1:9" ht="12.75">
      <c r="A27" s="11"/>
      <c r="B27" s="11"/>
      <c r="C27" s="11"/>
      <c r="E27" s="111">
        <v>3</v>
      </c>
      <c r="F27" s="111">
        <v>10</v>
      </c>
      <c r="G27" s="107" t="str">
        <f t="shared" si="1"/>
        <v>3x10</v>
      </c>
      <c r="H27" s="115">
        <v>1.9</v>
      </c>
      <c r="I27" s="114">
        <f t="shared" si="0"/>
        <v>70.68583470577035</v>
      </c>
    </row>
    <row r="28" spans="5:9" ht="12.75">
      <c r="E28" s="6">
        <v>4</v>
      </c>
      <c r="F28" s="6">
        <v>5</v>
      </c>
      <c r="G28" s="66" t="str">
        <f t="shared" si="1"/>
        <v>4x5</v>
      </c>
      <c r="H28" s="7">
        <v>2.08</v>
      </c>
      <c r="I28" s="3">
        <f t="shared" si="0"/>
        <v>62.83185307179586</v>
      </c>
    </row>
    <row r="29" spans="5:9" ht="12.75">
      <c r="E29" s="6">
        <v>4</v>
      </c>
      <c r="F29" s="6">
        <v>6</v>
      </c>
      <c r="G29" s="66" t="str">
        <f t="shared" si="1"/>
        <v>4x6</v>
      </c>
      <c r="H29" s="7">
        <v>2.26</v>
      </c>
      <c r="I29" s="3">
        <f t="shared" si="0"/>
        <v>75.39822368615503</v>
      </c>
    </row>
    <row r="30" spans="5:9" ht="12.75">
      <c r="E30" s="6">
        <v>4</v>
      </c>
      <c r="F30" s="6">
        <v>7</v>
      </c>
      <c r="G30" s="66" t="str">
        <f t="shared" si="1"/>
        <v>4x7</v>
      </c>
      <c r="H30" s="7">
        <v>2.44</v>
      </c>
      <c r="I30" s="3">
        <f t="shared" si="0"/>
        <v>87.96459430051421</v>
      </c>
    </row>
    <row r="31" spans="5:9" ht="12.75">
      <c r="E31" s="6">
        <v>4</v>
      </c>
      <c r="F31" s="6">
        <v>8</v>
      </c>
      <c r="G31" s="66" t="str">
        <f t="shared" si="1"/>
        <v>4x8</v>
      </c>
      <c r="H31" s="7">
        <v>2.62</v>
      </c>
      <c r="I31" s="3">
        <f t="shared" si="0"/>
        <v>100.53096491487338</v>
      </c>
    </row>
    <row r="32" spans="5:13" ht="12.75">
      <c r="E32" s="6">
        <v>4</v>
      </c>
      <c r="F32" s="6">
        <v>9</v>
      </c>
      <c r="G32" s="66" t="str">
        <f t="shared" si="1"/>
        <v>4x9</v>
      </c>
      <c r="H32" s="7">
        <v>2.8</v>
      </c>
      <c r="I32" s="3">
        <f t="shared" si="0"/>
        <v>113.09733552923255</v>
      </c>
      <c r="M32" s="14"/>
    </row>
    <row r="33" spans="5:9" ht="12.75">
      <c r="E33" s="6">
        <v>4</v>
      </c>
      <c r="F33" s="6">
        <v>10</v>
      </c>
      <c r="G33" s="66" t="str">
        <f t="shared" si="1"/>
        <v>4x10</v>
      </c>
      <c r="H33" s="7">
        <v>2.98</v>
      </c>
      <c r="I33" s="3">
        <f t="shared" si="0"/>
        <v>125.66370614359172</v>
      </c>
    </row>
    <row r="34" spans="5:13" ht="12.75">
      <c r="E34" s="113">
        <v>5</v>
      </c>
      <c r="F34" s="113">
        <v>6</v>
      </c>
      <c r="G34" s="107" t="str">
        <f t="shared" si="1"/>
        <v>5x6</v>
      </c>
      <c r="H34" s="115">
        <v>3.16</v>
      </c>
      <c r="I34" s="114">
        <f t="shared" si="0"/>
        <v>117.80972450961724</v>
      </c>
      <c r="M34" s="8"/>
    </row>
    <row r="35" spans="5:9" ht="12.75">
      <c r="E35" s="113">
        <v>5</v>
      </c>
      <c r="F35" s="113">
        <v>7</v>
      </c>
      <c r="G35" s="107" t="str">
        <f t="shared" si="1"/>
        <v>5x7</v>
      </c>
      <c r="H35" s="115">
        <v>3.34</v>
      </c>
      <c r="I35" s="114">
        <f t="shared" si="0"/>
        <v>137.44467859455347</v>
      </c>
    </row>
    <row r="36" spans="5:9" ht="12.75">
      <c r="E36" s="113">
        <v>5</v>
      </c>
      <c r="F36" s="113">
        <v>8</v>
      </c>
      <c r="G36" s="107" t="str">
        <f t="shared" si="1"/>
        <v>5x8</v>
      </c>
      <c r="H36" s="115">
        <v>3.52</v>
      </c>
      <c r="I36" s="114">
        <f t="shared" si="0"/>
        <v>157.07963267948966</v>
      </c>
    </row>
    <row r="37" spans="5:9" ht="12.75">
      <c r="E37" s="113">
        <v>5</v>
      </c>
      <c r="F37" s="113">
        <v>9</v>
      </c>
      <c r="G37" s="107" t="str">
        <f t="shared" si="1"/>
        <v>5x9</v>
      </c>
      <c r="H37" s="115">
        <v>3.7</v>
      </c>
      <c r="I37" s="114">
        <f t="shared" si="0"/>
        <v>176.71458676442586</v>
      </c>
    </row>
    <row r="38" spans="5:9" ht="12.75">
      <c r="E38" s="113">
        <v>5</v>
      </c>
      <c r="F38" s="113">
        <v>10</v>
      </c>
      <c r="G38" s="107" t="str">
        <f t="shared" si="1"/>
        <v>5x10</v>
      </c>
      <c r="H38" s="115">
        <v>3.88</v>
      </c>
      <c r="I38" s="114">
        <f t="shared" si="0"/>
        <v>196.34954084936209</v>
      </c>
    </row>
  </sheetData>
  <mergeCells count="3">
    <mergeCell ref="E1:I1"/>
    <mergeCell ref="A1:C1"/>
    <mergeCell ref="K1:N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58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2" spans="1:9" ht="12.7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</row>
    <row r="4" spans="1:9" ht="15.75">
      <c r="A4" s="125" t="s">
        <v>31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9"/>
      <c r="B5" s="19"/>
      <c r="C5" s="20"/>
      <c r="D5" s="20"/>
      <c r="E5" s="20"/>
      <c r="F5" s="20"/>
      <c r="G5" s="20"/>
      <c r="H5" s="20"/>
      <c r="I5" s="20"/>
    </row>
    <row r="6" spans="1:9" ht="12.75">
      <c r="A6" s="21"/>
      <c r="B6" s="128" t="s">
        <v>23</v>
      </c>
      <c r="C6" s="129"/>
      <c r="D6" s="128" t="s">
        <v>24</v>
      </c>
      <c r="E6" s="129"/>
      <c r="F6" s="128" t="s">
        <v>25</v>
      </c>
      <c r="G6" s="129"/>
      <c r="H6" s="128" t="s">
        <v>26</v>
      </c>
      <c r="I6" s="129"/>
    </row>
    <row r="7" spans="1:9" ht="12.75">
      <c r="A7" s="22" t="s">
        <v>27</v>
      </c>
      <c r="B7" s="23" t="s">
        <v>28</v>
      </c>
      <c r="C7" s="24" t="s">
        <v>2</v>
      </c>
      <c r="D7" s="23" t="s">
        <v>28</v>
      </c>
      <c r="E7" s="24" t="s">
        <v>2</v>
      </c>
      <c r="F7" s="23" t="s">
        <v>28</v>
      </c>
      <c r="G7" s="24" t="s">
        <v>2</v>
      </c>
      <c r="H7" s="23" t="s">
        <v>29</v>
      </c>
      <c r="I7" s="24" t="s">
        <v>30</v>
      </c>
    </row>
    <row r="8" spans="1:30" ht="12.75">
      <c r="A8" s="25">
        <v>0.01</v>
      </c>
      <c r="B8" s="34">
        <v>0.075</v>
      </c>
      <c r="C8" s="37">
        <v>0.005</v>
      </c>
      <c r="D8" s="34">
        <v>0.05</v>
      </c>
      <c r="E8" s="40">
        <v>0.01</v>
      </c>
      <c r="F8" s="34">
        <v>0.05</v>
      </c>
      <c r="G8" s="40">
        <v>0.02</v>
      </c>
      <c r="H8" s="26">
        <f aca="true" t="shared" si="0" ref="H8:H29">75*A8</f>
        <v>0.75</v>
      </c>
      <c r="I8" s="27">
        <f aca="true" t="shared" si="1" ref="I8:I29">0.45*A8</f>
        <v>0.0045000000000000005</v>
      </c>
      <c r="V8" s="58"/>
      <c r="W8" s="59"/>
      <c r="X8" s="59"/>
      <c r="Y8" s="58"/>
      <c r="Z8" s="59"/>
      <c r="AA8" s="59"/>
      <c r="AB8" s="58"/>
      <c r="AC8" s="59"/>
      <c r="AD8" s="59"/>
    </row>
    <row r="9" spans="1:30" ht="12.75">
      <c r="A9" s="28">
        <v>0.02</v>
      </c>
      <c r="B9" s="35">
        <v>0.175</v>
      </c>
      <c r="C9" s="38">
        <v>0.01</v>
      </c>
      <c r="D9" s="35">
        <v>0.1</v>
      </c>
      <c r="E9" s="41">
        <v>0.02</v>
      </c>
      <c r="F9" s="35">
        <v>0.075</v>
      </c>
      <c r="G9" s="41">
        <v>0.03</v>
      </c>
      <c r="H9" s="29">
        <f t="shared" si="0"/>
        <v>1.5</v>
      </c>
      <c r="I9" s="30">
        <f t="shared" si="1"/>
        <v>0.009000000000000001</v>
      </c>
      <c r="V9" s="58"/>
      <c r="W9" s="59"/>
      <c r="X9" s="59"/>
      <c r="Y9" s="58"/>
      <c r="Z9" s="59"/>
      <c r="AA9" s="59"/>
      <c r="AB9" s="58"/>
      <c r="AC9" s="59"/>
      <c r="AD9" s="59"/>
    </row>
    <row r="10" spans="1:30" ht="12.75">
      <c r="A10" s="28">
        <v>0.03</v>
      </c>
      <c r="B10" s="35">
        <v>0.25</v>
      </c>
      <c r="C10" s="38">
        <v>0.015</v>
      </c>
      <c r="D10" s="35">
        <v>0.15</v>
      </c>
      <c r="E10" s="41">
        <v>0.03</v>
      </c>
      <c r="F10" s="35">
        <v>0.1</v>
      </c>
      <c r="G10" s="41">
        <v>0.04</v>
      </c>
      <c r="H10" s="29">
        <f t="shared" si="0"/>
        <v>2.25</v>
      </c>
      <c r="I10" s="30">
        <f t="shared" si="1"/>
        <v>0.0135</v>
      </c>
      <c r="V10" s="58"/>
      <c r="W10" s="59"/>
      <c r="X10" s="59"/>
      <c r="Y10" s="58"/>
      <c r="Z10" s="59"/>
      <c r="AA10" s="59"/>
      <c r="AB10" s="58"/>
      <c r="AC10" s="59"/>
      <c r="AD10" s="59"/>
    </row>
    <row r="11" spans="1:30" ht="12.75">
      <c r="A11" s="28">
        <v>0.04</v>
      </c>
      <c r="B11" s="35">
        <v>0.325</v>
      </c>
      <c r="C11" s="38">
        <v>0.02</v>
      </c>
      <c r="D11" s="35">
        <v>0.2</v>
      </c>
      <c r="E11" s="41">
        <v>0.04</v>
      </c>
      <c r="F11" s="35">
        <v>0.15</v>
      </c>
      <c r="G11" s="41">
        <v>0.06</v>
      </c>
      <c r="H11" s="29">
        <f t="shared" si="0"/>
        <v>3</v>
      </c>
      <c r="I11" s="30">
        <f t="shared" si="1"/>
        <v>0.018000000000000002</v>
      </c>
      <c r="V11" s="58"/>
      <c r="W11" s="59"/>
      <c r="X11" s="59"/>
      <c r="Y11" s="58"/>
      <c r="Z11" s="59"/>
      <c r="AA11" s="59"/>
      <c r="AB11" s="58"/>
      <c r="AC11" s="59"/>
      <c r="AD11" s="59"/>
    </row>
    <row r="12" spans="1:30" ht="12.75">
      <c r="A12" s="28">
        <v>0.05</v>
      </c>
      <c r="B12" s="35">
        <v>0.425</v>
      </c>
      <c r="C12" s="38">
        <v>0.025</v>
      </c>
      <c r="D12" s="35">
        <v>0.25</v>
      </c>
      <c r="E12" s="41">
        <v>0.05</v>
      </c>
      <c r="F12" s="35">
        <v>0.175</v>
      </c>
      <c r="G12" s="41">
        <v>0.07</v>
      </c>
      <c r="H12" s="29">
        <f t="shared" si="0"/>
        <v>3.75</v>
      </c>
      <c r="I12" s="30">
        <f t="shared" si="1"/>
        <v>0.022500000000000003</v>
      </c>
      <c r="V12" s="58"/>
      <c r="W12" s="59"/>
      <c r="X12" s="59"/>
      <c r="Y12" s="58"/>
      <c r="Z12" s="59"/>
      <c r="AA12" s="59"/>
      <c r="AB12" s="58"/>
      <c r="AC12" s="59"/>
      <c r="AD12" s="59"/>
    </row>
    <row r="13" spans="1:30" ht="12.75">
      <c r="A13" s="28">
        <v>0.06</v>
      </c>
      <c r="B13" s="35">
        <v>0.5</v>
      </c>
      <c r="C13" s="38">
        <v>0.03</v>
      </c>
      <c r="D13" s="35">
        <v>0.3</v>
      </c>
      <c r="E13" s="41">
        <v>0.06</v>
      </c>
      <c r="F13" s="35">
        <v>0.225</v>
      </c>
      <c r="G13" s="41">
        <v>0.09</v>
      </c>
      <c r="H13" s="29">
        <f t="shared" si="0"/>
        <v>4.5</v>
      </c>
      <c r="I13" s="30">
        <f t="shared" si="1"/>
        <v>0.027</v>
      </c>
      <c r="V13" s="58"/>
      <c r="W13" s="59"/>
      <c r="X13" s="59"/>
      <c r="Y13" s="58"/>
      <c r="Z13" s="59"/>
      <c r="AA13" s="59"/>
      <c r="AB13" s="58"/>
      <c r="AC13" s="59"/>
      <c r="AD13" s="59"/>
    </row>
    <row r="14" spans="1:30" ht="12.75">
      <c r="A14" s="28">
        <v>0.07</v>
      </c>
      <c r="B14" s="35">
        <v>0.575</v>
      </c>
      <c r="C14" s="38">
        <v>0.035</v>
      </c>
      <c r="D14" s="35">
        <v>0.35</v>
      </c>
      <c r="E14" s="41">
        <v>0.07</v>
      </c>
      <c r="F14" s="35">
        <v>0.25</v>
      </c>
      <c r="G14" s="41">
        <v>0.1</v>
      </c>
      <c r="H14" s="29">
        <f t="shared" si="0"/>
        <v>5.250000000000001</v>
      </c>
      <c r="I14" s="30">
        <f t="shared" si="1"/>
        <v>0.03150000000000001</v>
      </c>
      <c r="V14" s="58"/>
      <c r="W14" s="59"/>
      <c r="X14" s="59"/>
      <c r="Y14" s="58"/>
      <c r="Z14" s="59"/>
      <c r="AA14" s="59"/>
      <c r="AB14" s="58"/>
      <c r="AC14" s="59"/>
      <c r="AD14" s="59"/>
    </row>
    <row r="15" spans="1:30" ht="12.75">
      <c r="A15" s="28">
        <v>0.08</v>
      </c>
      <c r="B15" s="35">
        <v>0.675</v>
      </c>
      <c r="C15" s="38">
        <v>0.04</v>
      </c>
      <c r="D15" s="35">
        <v>0.4</v>
      </c>
      <c r="E15" s="41">
        <v>0.08</v>
      </c>
      <c r="F15" s="35">
        <v>0.275</v>
      </c>
      <c r="G15" s="41">
        <v>0.12</v>
      </c>
      <c r="H15" s="29">
        <f t="shared" si="0"/>
        <v>6</v>
      </c>
      <c r="I15" s="30">
        <f t="shared" si="1"/>
        <v>0.036000000000000004</v>
      </c>
      <c r="V15" s="58"/>
      <c r="W15" s="59"/>
      <c r="X15" s="59"/>
      <c r="Y15" s="58"/>
      <c r="Z15" s="59"/>
      <c r="AA15" s="59"/>
      <c r="AB15" s="58"/>
      <c r="AC15" s="59"/>
      <c r="AD15" s="59"/>
    </row>
    <row r="16" spans="1:30" ht="12.75">
      <c r="A16" s="28">
        <v>0.09</v>
      </c>
      <c r="B16" s="35">
        <v>0.75</v>
      </c>
      <c r="C16" s="38">
        <v>0.045</v>
      </c>
      <c r="D16" s="35">
        <v>0.45</v>
      </c>
      <c r="E16" s="41">
        <v>0.09</v>
      </c>
      <c r="F16" s="35">
        <v>0.325</v>
      </c>
      <c r="G16" s="41">
        <v>0.13</v>
      </c>
      <c r="H16" s="29">
        <f t="shared" si="0"/>
        <v>6.75</v>
      </c>
      <c r="I16" s="30">
        <f t="shared" si="1"/>
        <v>0.0405</v>
      </c>
      <c r="V16" s="58"/>
      <c r="W16" s="59"/>
      <c r="X16" s="59"/>
      <c r="Y16" s="58"/>
      <c r="Z16" s="59"/>
      <c r="AA16" s="59"/>
      <c r="AB16" s="58"/>
      <c r="AC16" s="59"/>
      <c r="AD16" s="59"/>
    </row>
    <row r="17" spans="1:30" ht="12.75">
      <c r="A17" s="28">
        <v>0.1</v>
      </c>
      <c r="B17" s="35">
        <v>0.825</v>
      </c>
      <c r="C17" s="38">
        <v>0.05</v>
      </c>
      <c r="D17" s="35">
        <v>0.5</v>
      </c>
      <c r="E17" s="41">
        <v>0.1</v>
      </c>
      <c r="F17" s="35">
        <v>0.35</v>
      </c>
      <c r="G17" s="41">
        <v>0.15</v>
      </c>
      <c r="H17" s="29">
        <f t="shared" si="0"/>
        <v>7.5</v>
      </c>
      <c r="I17" s="30">
        <f t="shared" si="1"/>
        <v>0.045000000000000005</v>
      </c>
      <c r="V17" s="58"/>
      <c r="W17" s="59"/>
      <c r="X17" s="59"/>
      <c r="Y17" s="58"/>
      <c r="Z17" s="59"/>
      <c r="AA17" s="59"/>
      <c r="AB17" s="58"/>
      <c r="AC17" s="59"/>
      <c r="AD17" s="59"/>
    </row>
    <row r="18" spans="1:30" ht="12.75">
      <c r="A18" s="28">
        <v>0.2</v>
      </c>
      <c r="B18" s="35">
        <v>1.675</v>
      </c>
      <c r="C18" s="38">
        <v>0.1</v>
      </c>
      <c r="D18" s="35">
        <v>1</v>
      </c>
      <c r="E18" s="41">
        <v>0.2</v>
      </c>
      <c r="F18" s="35">
        <v>0.7</v>
      </c>
      <c r="G18" s="41">
        <v>0.3</v>
      </c>
      <c r="H18" s="29">
        <f t="shared" si="0"/>
        <v>15</v>
      </c>
      <c r="I18" s="30">
        <f t="shared" si="1"/>
        <v>0.09000000000000001</v>
      </c>
      <c r="V18" s="58"/>
      <c r="W18" s="59"/>
      <c r="X18" s="59"/>
      <c r="Y18" s="58"/>
      <c r="Z18" s="59"/>
      <c r="AA18" s="59"/>
      <c r="AB18" s="58"/>
      <c r="AC18" s="59"/>
      <c r="AD18" s="59"/>
    </row>
    <row r="19" spans="1:30" ht="12.75">
      <c r="A19" s="28">
        <v>0.3</v>
      </c>
      <c r="B19" s="35">
        <v>2.5</v>
      </c>
      <c r="C19" s="38">
        <v>0.2</v>
      </c>
      <c r="D19" s="35">
        <v>1.5</v>
      </c>
      <c r="E19" s="41">
        <v>0.4</v>
      </c>
      <c r="F19" s="35">
        <v>1.075</v>
      </c>
      <c r="G19" s="41">
        <v>0.45</v>
      </c>
      <c r="H19" s="29">
        <f t="shared" si="0"/>
        <v>22.5</v>
      </c>
      <c r="I19" s="30">
        <f t="shared" si="1"/>
        <v>0.135</v>
      </c>
      <c r="V19" s="58"/>
      <c r="W19" s="59"/>
      <c r="X19" s="59"/>
      <c r="Y19" s="58"/>
      <c r="Z19" s="59"/>
      <c r="AA19" s="59"/>
      <c r="AB19" s="58"/>
      <c r="AC19" s="59"/>
      <c r="AD19" s="59"/>
    </row>
    <row r="20" spans="1:30" ht="12.75">
      <c r="A20" s="28">
        <v>0.4</v>
      </c>
      <c r="B20" s="35">
        <v>3.25</v>
      </c>
      <c r="C20" s="38">
        <v>0.3</v>
      </c>
      <c r="D20" s="35">
        <v>2</v>
      </c>
      <c r="E20" s="41">
        <v>0.6</v>
      </c>
      <c r="F20" s="35">
        <v>1.425</v>
      </c>
      <c r="G20" s="41">
        <v>0.6</v>
      </c>
      <c r="H20" s="29">
        <f t="shared" si="0"/>
        <v>30</v>
      </c>
      <c r="I20" s="30">
        <f t="shared" si="1"/>
        <v>0.18000000000000002</v>
      </c>
      <c r="V20" s="58"/>
      <c r="W20" s="59"/>
      <c r="X20" s="59"/>
      <c r="Y20" s="58"/>
      <c r="Z20" s="59"/>
      <c r="AA20" s="59"/>
      <c r="AB20" s="58"/>
      <c r="AC20" s="59"/>
      <c r="AD20" s="59"/>
    </row>
    <row r="21" spans="1:30" ht="12.75">
      <c r="A21" s="28">
        <v>0.5</v>
      </c>
      <c r="B21" s="35">
        <v>4.25</v>
      </c>
      <c r="C21" s="38">
        <v>0.4</v>
      </c>
      <c r="D21" s="35">
        <v>2.5</v>
      </c>
      <c r="E21" s="41">
        <v>0.8</v>
      </c>
      <c r="F21" s="35">
        <v>1.775</v>
      </c>
      <c r="G21" s="41">
        <v>0.75</v>
      </c>
      <c r="H21" s="29">
        <f t="shared" si="0"/>
        <v>37.5</v>
      </c>
      <c r="I21" s="30">
        <f t="shared" si="1"/>
        <v>0.225</v>
      </c>
      <c r="V21" s="58"/>
      <c r="W21" s="59"/>
      <c r="X21" s="59"/>
      <c r="Y21" s="58"/>
      <c r="Z21" s="59"/>
      <c r="AA21" s="59"/>
      <c r="AB21" s="58"/>
      <c r="AC21" s="59"/>
      <c r="AD21" s="59"/>
    </row>
    <row r="22" spans="1:30" ht="12.75">
      <c r="A22" s="28">
        <v>0.6</v>
      </c>
      <c r="B22" s="35">
        <v>5</v>
      </c>
      <c r="C22" s="38">
        <v>0.5</v>
      </c>
      <c r="D22" s="35">
        <v>3</v>
      </c>
      <c r="E22" s="41">
        <v>1</v>
      </c>
      <c r="F22" s="35">
        <v>2.15</v>
      </c>
      <c r="G22" s="41">
        <v>0.9</v>
      </c>
      <c r="H22" s="29">
        <f t="shared" si="0"/>
        <v>45</v>
      </c>
      <c r="I22" s="30">
        <f t="shared" si="1"/>
        <v>0.27</v>
      </c>
      <c r="V22" s="58"/>
      <c r="W22" s="59"/>
      <c r="X22" s="59"/>
      <c r="Y22" s="58"/>
      <c r="Z22" s="59"/>
      <c r="AA22" s="59"/>
      <c r="AB22" s="58"/>
      <c r="AC22" s="59"/>
      <c r="AD22" s="59"/>
    </row>
    <row r="23" spans="1:30" ht="12.75">
      <c r="A23" s="28">
        <v>0.7</v>
      </c>
      <c r="B23" s="35">
        <v>5.75</v>
      </c>
      <c r="C23" s="38">
        <v>0.6</v>
      </c>
      <c r="D23" s="35">
        <v>3.5</v>
      </c>
      <c r="E23" s="41">
        <v>1.2</v>
      </c>
      <c r="F23" s="35">
        <v>2.5</v>
      </c>
      <c r="G23" s="41">
        <v>1.05</v>
      </c>
      <c r="H23" s="29">
        <f t="shared" si="0"/>
        <v>52.5</v>
      </c>
      <c r="I23" s="30">
        <f t="shared" si="1"/>
        <v>0.315</v>
      </c>
      <c r="V23" s="58"/>
      <c r="W23" s="59"/>
      <c r="X23" s="59"/>
      <c r="Y23" s="58"/>
      <c r="Z23" s="59"/>
      <c r="AA23" s="59"/>
      <c r="AB23" s="58"/>
      <c r="AC23" s="59"/>
      <c r="AD23" s="59"/>
    </row>
    <row r="24" spans="1:30" ht="12.75">
      <c r="A24" s="28">
        <v>0.8</v>
      </c>
      <c r="B24" s="35">
        <v>6.75</v>
      </c>
      <c r="C24" s="38">
        <v>0.7</v>
      </c>
      <c r="D24" s="35">
        <v>4</v>
      </c>
      <c r="E24" s="41">
        <v>1.4</v>
      </c>
      <c r="F24" s="35">
        <v>2.75</v>
      </c>
      <c r="G24" s="41">
        <v>1.2</v>
      </c>
      <c r="H24" s="29">
        <f t="shared" si="0"/>
        <v>60</v>
      </c>
      <c r="I24" s="30">
        <f t="shared" si="1"/>
        <v>0.36000000000000004</v>
      </c>
      <c r="V24" s="58"/>
      <c r="W24" s="59"/>
      <c r="X24" s="59"/>
      <c r="Y24" s="58"/>
      <c r="Z24" s="59"/>
      <c r="AA24" s="59"/>
      <c r="AB24" s="58"/>
      <c r="AC24" s="59"/>
      <c r="AD24" s="59"/>
    </row>
    <row r="25" spans="1:30" ht="12.75">
      <c r="A25" s="28">
        <v>0.9</v>
      </c>
      <c r="B25" s="35">
        <v>7.5</v>
      </c>
      <c r="C25" s="38">
        <v>0.8</v>
      </c>
      <c r="D25" s="35">
        <v>4.5</v>
      </c>
      <c r="E25" s="41">
        <v>1.6</v>
      </c>
      <c r="F25" s="35">
        <v>3.25</v>
      </c>
      <c r="G25" s="41">
        <v>1.35</v>
      </c>
      <c r="H25" s="29">
        <f t="shared" si="0"/>
        <v>67.5</v>
      </c>
      <c r="I25" s="30">
        <f t="shared" si="1"/>
        <v>0.405</v>
      </c>
      <c r="V25" s="58"/>
      <c r="W25" s="59"/>
      <c r="X25" s="59"/>
      <c r="Y25" s="58"/>
      <c r="Z25" s="59"/>
      <c r="AA25" s="59"/>
      <c r="AB25" s="58"/>
      <c r="AC25" s="59"/>
      <c r="AD25" s="59"/>
    </row>
    <row r="26" spans="1:30" ht="12.75">
      <c r="A26" s="28">
        <v>1</v>
      </c>
      <c r="B26" s="35">
        <v>8.75</v>
      </c>
      <c r="C26" s="38">
        <v>1</v>
      </c>
      <c r="D26" s="35">
        <v>5</v>
      </c>
      <c r="E26" s="41">
        <v>2</v>
      </c>
      <c r="F26" s="35">
        <v>3.5</v>
      </c>
      <c r="G26" s="41">
        <v>1.5</v>
      </c>
      <c r="H26" s="29">
        <f t="shared" si="0"/>
        <v>75</v>
      </c>
      <c r="I26" s="30">
        <f t="shared" si="1"/>
        <v>0.45</v>
      </c>
      <c r="V26" s="58"/>
      <c r="W26" s="59"/>
      <c r="X26" s="59"/>
      <c r="Y26" s="58"/>
      <c r="Z26" s="59"/>
      <c r="AA26" s="59"/>
      <c r="AB26" s="58"/>
      <c r="AC26" s="59"/>
      <c r="AD26" s="59"/>
    </row>
    <row r="27" spans="1:30" ht="12.75">
      <c r="A27" s="28">
        <v>2</v>
      </c>
      <c r="B27" s="35">
        <v>17.5</v>
      </c>
      <c r="C27" s="38">
        <v>2</v>
      </c>
      <c r="D27" s="35">
        <v>10</v>
      </c>
      <c r="E27" s="41">
        <v>4</v>
      </c>
      <c r="F27" s="35">
        <v>7.5</v>
      </c>
      <c r="G27" s="41">
        <v>3</v>
      </c>
      <c r="H27" s="29">
        <f t="shared" si="0"/>
        <v>150</v>
      </c>
      <c r="I27" s="30">
        <f t="shared" si="1"/>
        <v>0.9</v>
      </c>
      <c r="V27" s="58"/>
      <c r="W27" s="59"/>
      <c r="X27" s="59"/>
      <c r="Y27" s="58"/>
      <c r="Z27" s="59"/>
      <c r="AA27" s="59"/>
      <c r="AB27" s="58"/>
      <c r="AC27" s="59"/>
      <c r="AD27" s="59"/>
    </row>
    <row r="28" spans="1:30" ht="12.75">
      <c r="A28" s="28">
        <v>3</v>
      </c>
      <c r="B28" s="35">
        <v>25</v>
      </c>
      <c r="C28" s="38">
        <v>3</v>
      </c>
      <c r="D28" s="35">
        <v>15</v>
      </c>
      <c r="E28" s="41">
        <v>6</v>
      </c>
      <c r="F28" s="35">
        <v>10</v>
      </c>
      <c r="G28" s="41">
        <v>4.5</v>
      </c>
      <c r="H28" s="29">
        <f t="shared" si="0"/>
        <v>225</v>
      </c>
      <c r="I28" s="30">
        <f t="shared" si="1"/>
        <v>1.35</v>
      </c>
      <c r="V28" s="58"/>
      <c r="W28" s="59"/>
      <c r="X28" s="59"/>
      <c r="Y28" s="58"/>
      <c r="Z28" s="59"/>
      <c r="AA28" s="59"/>
      <c r="AB28" s="58"/>
      <c r="AC28" s="59"/>
      <c r="AD28" s="59"/>
    </row>
    <row r="29" spans="1:30" ht="12.75">
      <c r="A29" s="31">
        <v>4</v>
      </c>
      <c r="B29" s="36">
        <v>0</v>
      </c>
      <c r="C29" s="39">
        <v>0</v>
      </c>
      <c r="D29" s="36">
        <v>20</v>
      </c>
      <c r="E29" s="42">
        <v>8</v>
      </c>
      <c r="F29" s="36">
        <v>13.75</v>
      </c>
      <c r="G29" s="42">
        <v>6</v>
      </c>
      <c r="H29" s="32">
        <f t="shared" si="0"/>
        <v>300</v>
      </c>
      <c r="I29" s="33">
        <f t="shared" si="1"/>
        <v>1.8</v>
      </c>
      <c r="V29" s="58"/>
      <c r="W29" s="59"/>
      <c r="X29" s="59"/>
      <c r="Y29" s="58"/>
      <c r="Z29" s="59"/>
      <c r="AA29" s="59"/>
      <c r="AB29" s="58"/>
      <c r="AC29" s="59"/>
      <c r="AD29" s="59"/>
    </row>
    <row r="31" spans="1:20" ht="12.75">
      <c r="A31">
        <v>1</v>
      </c>
      <c r="B31">
        <v>2</v>
      </c>
      <c r="C31">
        <v>3</v>
      </c>
      <c r="D31">
        <v>4</v>
      </c>
      <c r="E31">
        <v>5</v>
      </c>
      <c r="F31">
        <v>6</v>
      </c>
      <c r="G31">
        <v>7</v>
      </c>
      <c r="H31">
        <v>8</v>
      </c>
      <c r="I31">
        <v>9</v>
      </c>
      <c r="J31">
        <v>10</v>
      </c>
      <c r="T31" s="8"/>
    </row>
    <row r="33" spans="1:10" ht="15.75">
      <c r="A33" s="125" t="s">
        <v>35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ht="15.75">
      <c r="A34" s="19"/>
      <c r="B34" s="19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45"/>
      <c r="B35" s="128" t="s">
        <v>23</v>
      </c>
      <c r="C35" s="130"/>
      <c r="D35" s="129"/>
      <c r="E35" s="128" t="s">
        <v>24</v>
      </c>
      <c r="F35" s="130"/>
      <c r="G35" s="129"/>
      <c r="H35" s="128" t="s">
        <v>25</v>
      </c>
      <c r="I35" s="130"/>
      <c r="J35" s="129"/>
    </row>
    <row r="36" spans="1:10" ht="12.75">
      <c r="A36" s="22" t="s">
        <v>27</v>
      </c>
      <c r="B36" s="23" t="s">
        <v>28</v>
      </c>
      <c r="C36" s="49" t="s">
        <v>2</v>
      </c>
      <c r="D36" s="24" t="s">
        <v>34</v>
      </c>
      <c r="E36" s="23" t="s">
        <v>28</v>
      </c>
      <c r="F36" s="49" t="s">
        <v>2</v>
      </c>
      <c r="G36" s="24" t="s">
        <v>34</v>
      </c>
      <c r="H36" s="57" t="s">
        <v>28</v>
      </c>
      <c r="I36" s="53" t="s">
        <v>2</v>
      </c>
      <c r="J36" s="24" t="s">
        <v>34</v>
      </c>
    </row>
    <row r="37" spans="1:18" ht="12.75">
      <c r="A37" s="25">
        <v>0.01</v>
      </c>
      <c r="B37" s="34">
        <v>0.01875</v>
      </c>
      <c r="C37" s="50">
        <v>0.03</v>
      </c>
      <c r="D37" s="37">
        <v>0.75</v>
      </c>
      <c r="E37" s="34">
        <v>0.0125</v>
      </c>
      <c r="F37" s="50">
        <v>0.1</v>
      </c>
      <c r="G37" s="37">
        <v>0.75</v>
      </c>
      <c r="H37" s="46">
        <v>0.0125</v>
      </c>
      <c r="I37" s="60">
        <v>0.18</v>
      </c>
      <c r="J37" s="54">
        <v>0.75</v>
      </c>
      <c r="L37" s="8"/>
      <c r="O37" s="8"/>
      <c r="R37" s="8"/>
    </row>
    <row r="38" spans="1:18" ht="12.75">
      <c r="A38" s="28">
        <v>0.02</v>
      </c>
      <c r="B38" s="35">
        <v>0.04375</v>
      </c>
      <c r="C38" s="51">
        <v>0.04</v>
      </c>
      <c r="D38" s="38">
        <v>1</v>
      </c>
      <c r="E38" s="35">
        <v>0.025</v>
      </c>
      <c r="F38" s="51">
        <v>0.125</v>
      </c>
      <c r="G38" s="38">
        <v>1</v>
      </c>
      <c r="H38" s="47">
        <v>0.01875</v>
      </c>
      <c r="I38" s="61">
        <v>0.23</v>
      </c>
      <c r="J38" s="55">
        <v>1</v>
      </c>
      <c r="L38" s="8"/>
      <c r="O38" s="8"/>
      <c r="R38" s="8"/>
    </row>
    <row r="39" spans="1:18" ht="12.75">
      <c r="A39" s="28">
        <v>0.03</v>
      </c>
      <c r="B39" s="35">
        <v>0.0625</v>
      </c>
      <c r="C39" s="51">
        <v>0.045</v>
      </c>
      <c r="D39" s="38">
        <v>1</v>
      </c>
      <c r="E39" s="35">
        <v>0.0375</v>
      </c>
      <c r="F39" s="51">
        <v>0.145</v>
      </c>
      <c r="G39" s="38">
        <v>1.25</v>
      </c>
      <c r="H39" s="47">
        <v>0.025</v>
      </c>
      <c r="I39" s="61">
        <v>0.26</v>
      </c>
      <c r="J39" s="55">
        <v>1.25</v>
      </c>
      <c r="L39" s="8"/>
      <c r="O39" s="8"/>
      <c r="R39" s="8"/>
    </row>
    <row r="40" spans="1:18" ht="12.75">
      <c r="A40" s="28">
        <v>0.04</v>
      </c>
      <c r="B40" s="35">
        <v>0.08125</v>
      </c>
      <c r="C40" s="51">
        <v>0.05</v>
      </c>
      <c r="D40" s="38">
        <v>1.25</v>
      </c>
      <c r="E40" s="35">
        <v>0.05</v>
      </c>
      <c r="F40" s="51">
        <v>0.16</v>
      </c>
      <c r="G40" s="38">
        <v>1.25</v>
      </c>
      <c r="H40" s="47">
        <v>0.0375</v>
      </c>
      <c r="I40" s="61">
        <v>0.285</v>
      </c>
      <c r="J40" s="55">
        <v>1.25</v>
      </c>
      <c r="L40" s="8"/>
      <c r="O40" s="8"/>
      <c r="R40" s="8"/>
    </row>
    <row r="41" spans="1:18" ht="12.75">
      <c r="A41" s="28">
        <v>0.05</v>
      </c>
      <c r="B41" s="35">
        <v>0.10625</v>
      </c>
      <c r="C41" s="51">
        <v>0.055</v>
      </c>
      <c r="D41" s="38">
        <v>1.25</v>
      </c>
      <c r="E41" s="35">
        <v>0.0625</v>
      </c>
      <c r="F41" s="51">
        <v>0.17</v>
      </c>
      <c r="G41" s="38">
        <v>1.25</v>
      </c>
      <c r="H41" s="47">
        <v>0.04375</v>
      </c>
      <c r="I41" s="61">
        <v>0.31</v>
      </c>
      <c r="J41" s="55">
        <v>1.5</v>
      </c>
      <c r="L41" s="8"/>
      <c r="O41" s="8"/>
      <c r="R41" s="8"/>
    </row>
    <row r="42" spans="1:18" ht="12.75">
      <c r="A42" s="28">
        <v>0.06</v>
      </c>
      <c r="B42" s="35">
        <v>0.125</v>
      </c>
      <c r="C42" s="51">
        <v>0.06</v>
      </c>
      <c r="D42" s="38">
        <v>1.25</v>
      </c>
      <c r="E42" s="35">
        <v>0.075</v>
      </c>
      <c r="F42" s="51">
        <v>0.185</v>
      </c>
      <c r="G42" s="38">
        <v>1.5</v>
      </c>
      <c r="H42" s="47">
        <v>0.05625</v>
      </c>
      <c r="I42" s="61">
        <v>0.33</v>
      </c>
      <c r="J42" s="55">
        <v>1.5</v>
      </c>
      <c r="L42" s="8"/>
      <c r="O42" s="8"/>
      <c r="R42" s="8"/>
    </row>
    <row r="43" spans="1:18" ht="12.75">
      <c r="A43" s="28">
        <v>0.07</v>
      </c>
      <c r="B43" s="35">
        <v>0.14375</v>
      </c>
      <c r="C43" s="51">
        <v>0.06</v>
      </c>
      <c r="D43" s="38">
        <v>1.25</v>
      </c>
      <c r="E43" s="35">
        <v>0.0875</v>
      </c>
      <c r="F43" s="51">
        <v>0.195</v>
      </c>
      <c r="G43" s="38">
        <v>1.5</v>
      </c>
      <c r="H43" s="47">
        <v>0.0625</v>
      </c>
      <c r="I43" s="61">
        <v>0.35</v>
      </c>
      <c r="J43" s="55">
        <v>1.75</v>
      </c>
      <c r="L43" s="8"/>
      <c r="O43" s="8"/>
      <c r="R43" s="8"/>
    </row>
    <row r="44" spans="1:18" ht="12.75">
      <c r="A44" s="28">
        <v>0.08</v>
      </c>
      <c r="B44" s="35">
        <v>0.16875</v>
      </c>
      <c r="C44" s="51">
        <v>0.065</v>
      </c>
      <c r="D44" s="38">
        <v>1.5</v>
      </c>
      <c r="E44" s="35">
        <v>0.1</v>
      </c>
      <c r="F44" s="51">
        <v>0.2</v>
      </c>
      <c r="G44" s="38">
        <v>1.5</v>
      </c>
      <c r="H44" s="47">
        <v>0.06875</v>
      </c>
      <c r="I44" s="61">
        <v>0.36</v>
      </c>
      <c r="J44" s="55">
        <v>1.75</v>
      </c>
      <c r="L44" s="8"/>
      <c r="O44" s="8"/>
      <c r="R44" s="8"/>
    </row>
    <row r="45" spans="1:18" ht="12.75">
      <c r="A45" s="28">
        <v>0.09</v>
      </c>
      <c r="B45" s="35">
        <v>0.1875</v>
      </c>
      <c r="C45" s="51">
        <v>0.07</v>
      </c>
      <c r="D45" s="38">
        <v>1.5</v>
      </c>
      <c r="E45" s="35">
        <v>0.1125</v>
      </c>
      <c r="F45" s="51">
        <v>0.21</v>
      </c>
      <c r="G45" s="38">
        <v>1.75</v>
      </c>
      <c r="H45" s="47">
        <v>0.08125</v>
      </c>
      <c r="I45" s="61">
        <v>0.38</v>
      </c>
      <c r="J45" s="55">
        <v>1.75</v>
      </c>
      <c r="L45" s="8"/>
      <c r="O45" s="8"/>
      <c r="R45" s="8"/>
    </row>
    <row r="46" spans="1:18" ht="12.75">
      <c r="A46" s="28">
        <v>0.1</v>
      </c>
      <c r="B46" s="35">
        <v>0.20625</v>
      </c>
      <c r="C46" s="51">
        <v>0.075</v>
      </c>
      <c r="D46" s="38">
        <v>1.5</v>
      </c>
      <c r="E46" s="35">
        <v>0.125</v>
      </c>
      <c r="F46" s="51">
        <v>0.215</v>
      </c>
      <c r="G46" s="38">
        <v>1.75</v>
      </c>
      <c r="H46" s="47">
        <v>0.0875</v>
      </c>
      <c r="I46" s="61">
        <v>0.395</v>
      </c>
      <c r="J46" s="55">
        <v>1.75</v>
      </c>
      <c r="L46" s="8"/>
      <c r="O46" s="8"/>
      <c r="R46" s="8"/>
    </row>
    <row r="47" spans="1:18" ht="12.75">
      <c r="A47" s="28">
        <v>0.2</v>
      </c>
      <c r="B47" s="35">
        <v>0.41875</v>
      </c>
      <c r="C47" s="51">
        <v>0.085</v>
      </c>
      <c r="D47" s="38">
        <v>2</v>
      </c>
      <c r="E47" s="35">
        <v>0.25</v>
      </c>
      <c r="F47" s="51">
        <v>0.275</v>
      </c>
      <c r="G47" s="38">
        <v>2.25</v>
      </c>
      <c r="H47" s="47">
        <v>0.175</v>
      </c>
      <c r="I47" s="61">
        <v>0.495</v>
      </c>
      <c r="J47" s="55">
        <v>2.25</v>
      </c>
      <c r="L47" s="8"/>
      <c r="O47" s="8"/>
      <c r="R47" s="8"/>
    </row>
    <row r="48" spans="1:18" ht="12.75">
      <c r="A48" s="28">
        <v>0.3</v>
      </c>
      <c r="B48" s="35">
        <v>0.625</v>
      </c>
      <c r="C48" s="51">
        <v>0.1</v>
      </c>
      <c r="D48" s="38">
        <v>2.25</v>
      </c>
      <c r="E48" s="35">
        <v>0.375</v>
      </c>
      <c r="F48" s="51">
        <v>0.315</v>
      </c>
      <c r="G48" s="38">
        <v>2.5</v>
      </c>
      <c r="H48" s="47">
        <v>0.26875</v>
      </c>
      <c r="I48" s="61">
        <v>0.57</v>
      </c>
      <c r="J48" s="55">
        <v>2.75</v>
      </c>
      <c r="L48" s="8"/>
      <c r="O48" s="8"/>
      <c r="R48" s="8"/>
    </row>
    <row r="49" spans="1:18" ht="12.75">
      <c r="A49" s="28">
        <v>0.4</v>
      </c>
      <c r="B49" s="35">
        <v>0.8125</v>
      </c>
      <c r="C49" s="51">
        <v>0.11</v>
      </c>
      <c r="D49" s="38">
        <v>2.5</v>
      </c>
      <c r="E49" s="35">
        <v>0.5</v>
      </c>
      <c r="F49" s="51">
        <v>0.35</v>
      </c>
      <c r="G49" s="38">
        <v>2.75</v>
      </c>
      <c r="H49" s="47">
        <v>0.35625</v>
      </c>
      <c r="I49" s="61">
        <v>0.625</v>
      </c>
      <c r="J49" s="55">
        <v>3</v>
      </c>
      <c r="L49" s="8"/>
      <c r="O49" s="8"/>
      <c r="R49" s="8"/>
    </row>
    <row r="50" spans="1:18" ht="12.75">
      <c r="A50" s="28">
        <v>0.5</v>
      </c>
      <c r="B50" s="35">
        <v>1.0625</v>
      </c>
      <c r="C50" s="51">
        <v>0.12</v>
      </c>
      <c r="D50" s="38">
        <v>2.75</v>
      </c>
      <c r="E50" s="35">
        <v>0.625</v>
      </c>
      <c r="F50" s="51">
        <v>0.375</v>
      </c>
      <c r="G50" s="38">
        <v>3</v>
      </c>
      <c r="H50" s="47">
        <v>0.44375</v>
      </c>
      <c r="I50" s="61">
        <v>0.675</v>
      </c>
      <c r="J50" s="55">
        <v>3.25</v>
      </c>
      <c r="L50" s="8"/>
      <c r="O50" s="8"/>
      <c r="R50" s="8"/>
    </row>
    <row r="51" spans="1:18" ht="12.75">
      <c r="A51" s="28">
        <v>0.6</v>
      </c>
      <c r="B51" s="35">
        <v>1.25</v>
      </c>
      <c r="C51" s="51">
        <v>0.125</v>
      </c>
      <c r="D51" s="38">
        <v>2.75</v>
      </c>
      <c r="E51" s="35">
        <v>0.75</v>
      </c>
      <c r="F51" s="51">
        <v>0.395</v>
      </c>
      <c r="G51" s="38">
        <v>3</v>
      </c>
      <c r="H51" s="47">
        <v>0.5375</v>
      </c>
      <c r="I51" s="61">
        <v>0.71</v>
      </c>
      <c r="J51" s="55">
        <v>3.25</v>
      </c>
      <c r="L51" s="8"/>
      <c r="O51" s="8"/>
      <c r="R51" s="8"/>
    </row>
    <row r="52" spans="1:18" ht="12.75">
      <c r="A52" s="28">
        <v>0.7</v>
      </c>
      <c r="B52" s="35">
        <v>1.4375</v>
      </c>
      <c r="C52" s="51">
        <v>0.135</v>
      </c>
      <c r="D52" s="38">
        <v>3</v>
      </c>
      <c r="E52" s="35">
        <v>0.875</v>
      </c>
      <c r="F52" s="51">
        <v>0.42</v>
      </c>
      <c r="G52" s="38">
        <v>3.25</v>
      </c>
      <c r="H52" s="47">
        <v>0.625</v>
      </c>
      <c r="I52" s="61">
        <v>0.735</v>
      </c>
      <c r="J52" s="55">
        <v>3.5</v>
      </c>
      <c r="L52" s="8"/>
      <c r="O52" s="8"/>
      <c r="R52" s="8"/>
    </row>
    <row r="53" spans="1:18" ht="12.75">
      <c r="A53" s="28">
        <v>0.8</v>
      </c>
      <c r="B53" s="35">
        <v>1.6875</v>
      </c>
      <c r="C53" s="51">
        <v>0.14</v>
      </c>
      <c r="D53" s="38">
        <v>3</v>
      </c>
      <c r="E53" s="35">
        <v>1</v>
      </c>
      <c r="F53" s="51">
        <v>0.44</v>
      </c>
      <c r="G53" s="38">
        <v>3.5</v>
      </c>
      <c r="H53" s="47">
        <v>0.6875</v>
      </c>
      <c r="I53" s="61">
        <v>0.785</v>
      </c>
      <c r="J53" s="55">
        <v>3.75</v>
      </c>
      <c r="L53" s="8"/>
      <c r="O53" s="8"/>
      <c r="R53" s="8"/>
    </row>
    <row r="54" spans="1:18" ht="12.75">
      <c r="A54" s="28">
        <v>0.9</v>
      </c>
      <c r="B54" s="35">
        <v>1.875</v>
      </c>
      <c r="C54" s="51">
        <v>0.145</v>
      </c>
      <c r="D54" s="38">
        <v>3.25</v>
      </c>
      <c r="E54" s="35">
        <v>1.125</v>
      </c>
      <c r="F54" s="51">
        <v>0.455</v>
      </c>
      <c r="G54" s="38">
        <v>3.5</v>
      </c>
      <c r="H54" s="47">
        <v>0.8125</v>
      </c>
      <c r="I54" s="61">
        <v>0.82</v>
      </c>
      <c r="J54" s="55">
        <v>3.75</v>
      </c>
      <c r="L54" s="8"/>
      <c r="O54" s="8"/>
      <c r="R54" s="8"/>
    </row>
    <row r="55" spans="1:18" ht="12.75">
      <c r="A55" s="28">
        <v>1</v>
      </c>
      <c r="B55" s="35">
        <v>2.1875</v>
      </c>
      <c r="C55" s="51">
        <v>0.15</v>
      </c>
      <c r="D55" s="38">
        <v>3.5</v>
      </c>
      <c r="E55" s="35">
        <v>1.25</v>
      </c>
      <c r="F55" s="51">
        <v>0.485</v>
      </c>
      <c r="G55" s="38">
        <v>3.75</v>
      </c>
      <c r="H55" s="47">
        <v>0.875</v>
      </c>
      <c r="I55" s="61">
        <v>0.875</v>
      </c>
      <c r="J55" s="55">
        <v>4</v>
      </c>
      <c r="L55" s="8"/>
      <c r="O55" s="8"/>
      <c r="R55" s="8"/>
    </row>
    <row r="56" spans="1:18" ht="12.75">
      <c r="A56" s="28">
        <v>2</v>
      </c>
      <c r="B56" s="35">
        <v>4.375</v>
      </c>
      <c r="C56" s="51">
        <v>0.195</v>
      </c>
      <c r="D56" s="38">
        <v>4.25</v>
      </c>
      <c r="E56" s="35">
        <v>2.5</v>
      </c>
      <c r="F56" s="51">
        <v>0.6</v>
      </c>
      <c r="G56" s="38">
        <v>4.75</v>
      </c>
      <c r="H56" s="47">
        <v>1.875</v>
      </c>
      <c r="I56" s="61">
        <v>1.06</v>
      </c>
      <c r="J56" s="55">
        <v>5</v>
      </c>
      <c r="L56" s="8"/>
      <c r="O56" s="8"/>
      <c r="R56" s="8"/>
    </row>
    <row r="57" spans="1:18" ht="12.75">
      <c r="A57" s="28">
        <v>3</v>
      </c>
      <c r="B57" s="35">
        <v>6.25</v>
      </c>
      <c r="C57" s="51">
        <v>0.21</v>
      </c>
      <c r="D57" s="38">
        <v>4.75</v>
      </c>
      <c r="E57" s="35">
        <v>3.75</v>
      </c>
      <c r="F57" s="51">
        <v>0.675</v>
      </c>
      <c r="G57" s="38">
        <v>5.25</v>
      </c>
      <c r="H57" s="47">
        <v>2.5</v>
      </c>
      <c r="I57" s="61">
        <v>1.25</v>
      </c>
      <c r="J57" s="55">
        <v>6</v>
      </c>
      <c r="L57" s="8"/>
      <c r="O57" s="8"/>
      <c r="R57" s="8"/>
    </row>
    <row r="58" spans="1:18" ht="12.75">
      <c r="A58" s="31">
        <v>4</v>
      </c>
      <c r="B58" s="36">
        <v>0</v>
      </c>
      <c r="C58" s="52">
        <v>0.24</v>
      </c>
      <c r="D58" s="39">
        <v>5.25</v>
      </c>
      <c r="E58" s="36">
        <v>5</v>
      </c>
      <c r="F58" s="52">
        <v>0.75</v>
      </c>
      <c r="G58" s="39">
        <v>6</v>
      </c>
      <c r="H58" s="48">
        <v>3.4375</v>
      </c>
      <c r="I58" s="62">
        <v>1.375</v>
      </c>
      <c r="J58" s="56">
        <v>6.5</v>
      </c>
      <c r="L58" s="8"/>
      <c r="O58" s="8"/>
      <c r="R58" s="8"/>
    </row>
  </sheetData>
  <mergeCells count="9">
    <mergeCell ref="B35:D35"/>
    <mergeCell ref="E35:G35"/>
    <mergeCell ref="H35:J35"/>
    <mergeCell ref="A33:J33"/>
    <mergeCell ref="A4:I4"/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Foxx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Missile Design Template</dc:title>
  <dc:subject>2300 Design Sequences</dc:subject>
  <dc:creator>T.A. Kuchta</dc:creator>
  <cp:keywords>2300, Star Cruiser, NAM, Missiles, Deisgns</cp:keywords>
  <dc:description>An Excel spreadsheet design template to allow rapid construction of missiles for use with Star Cruiser.</dc:description>
  <cp:lastModifiedBy>T.A. Kuchta</cp:lastModifiedBy>
  <cp:lastPrinted>1999-01-24T05:56:15Z</cp:lastPrinted>
  <dcterms:created xsi:type="dcterms:W3CDTF">1999-01-24T00:29:11Z</dcterms:created>
  <cp:category>Design Sequences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